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yacu-my.sharepoint.com/personal/miruutu_acu_edu_au/Documents/PPO Process/Templates/PPO templates 2019/"/>
    </mc:Choice>
  </mc:AlternateContent>
  <xr:revisionPtr revIDLastSave="6" documentId="8_{1C0AFE78-CC27-47A7-8352-6F2B1F22A6D7}" xr6:coauthVersionLast="41" xr6:coauthVersionMax="41" xr10:uidLastSave="{8C00D5CA-FC56-4C65-B813-006EE867EF93}"/>
  <bookViews>
    <workbookView xWindow="1050" yWindow="-120" windowWidth="27870" windowHeight="16440" xr2:uid="{72560208-0424-490E-98BC-3879CEC7CE55}"/>
  </bookViews>
  <sheets>
    <sheet name="Instructions" sheetId="2" r:id="rId1"/>
    <sheet name="Schedule" sheetId="1" r:id="rId2"/>
  </sheets>
  <definedNames>
    <definedName name="Holidays">Schedule!$D$93:$D$108</definedName>
    <definedName name="_xlnm.Print_Area" localSheetId="1">Schedule!$A$1:$J$80</definedName>
    <definedName name="Staff_costs">Schedule!$A$83:$G$89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8" i="1" l="1"/>
  <c r="D61" i="1"/>
  <c r="D16" i="1" s="1"/>
  <c r="D54" i="1"/>
  <c r="D15" i="1" s="1"/>
  <c r="D73" i="1"/>
  <c r="D18" i="1" s="1"/>
  <c r="C73" i="1"/>
  <c r="C61" i="1"/>
  <c r="I78" i="1" l="1"/>
  <c r="I77" i="1"/>
  <c r="I76" i="1"/>
  <c r="I17" i="1" s="1"/>
  <c r="H75" i="1"/>
  <c r="D75" i="1"/>
  <c r="C75" i="1"/>
  <c r="H6" i="1"/>
  <c r="I72" i="1"/>
  <c r="I71" i="1"/>
  <c r="I70" i="1"/>
  <c r="I69" i="1"/>
  <c r="I67" i="1"/>
  <c r="I65" i="1"/>
  <c r="I62" i="1"/>
  <c r="I60" i="1"/>
  <c r="I59" i="1"/>
  <c r="I58" i="1"/>
  <c r="I57" i="1"/>
  <c r="I56" i="1"/>
  <c r="I53" i="1"/>
  <c r="I52" i="1"/>
  <c r="I51" i="1"/>
  <c r="I50" i="1"/>
  <c r="I49" i="1"/>
  <c r="I48" i="1"/>
  <c r="I45" i="1"/>
  <c r="I44" i="1"/>
  <c r="I43" i="1"/>
  <c r="I42" i="1"/>
  <c r="I41" i="1"/>
  <c r="I40" i="1"/>
  <c r="I27" i="1"/>
  <c r="I26" i="1"/>
  <c r="I24" i="1"/>
  <c r="I23" i="1"/>
  <c r="I28" i="1"/>
  <c r="G85" i="1"/>
  <c r="J76" i="1" s="1"/>
  <c r="J17" i="1" s="1"/>
  <c r="G87" i="1"/>
  <c r="J78" i="1" s="1"/>
  <c r="G84" i="1"/>
  <c r="J69" i="1" s="1"/>
  <c r="G86" i="1"/>
  <c r="J60" i="1" s="1"/>
  <c r="G83" i="1"/>
  <c r="J57" i="1" s="1"/>
  <c r="J36" i="1" l="1"/>
  <c r="G43" i="1"/>
  <c r="J58" i="1"/>
  <c r="G60" i="1"/>
  <c r="J77" i="1"/>
  <c r="G49" i="1"/>
  <c r="G67" i="1"/>
  <c r="J42" i="1"/>
  <c r="J65" i="1"/>
  <c r="G23" i="1"/>
  <c r="G53" i="1"/>
  <c r="G71" i="1"/>
  <c r="J26" i="1"/>
  <c r="J48" i="1"/>
  <c r="J67" i="1"/>
  <c r="G26" i="1"/>
  <c r="G59" i="1"/>
  <c r="I15" i="1"/>
  <c r="I16" i="1"/>
  <c r="J32" i="1"/>
  <c r="J52" i="1"/>
  <c r="J70" i="1"/>
  <c r="E75" i="1"/>
  <c r="G78" i="1"/>
  <c r="G27" i="1"/>
  <c r="G40" i="1"/>
  <c r="G44" i="1"/>
  <c r="G50" i="1"/>
  <c r="G56" i="1"/>
  <c r="G72" i="1"/>
  <c r="J33" i="1"/>
  <c r="J43" i="1"/>
  <c r="J53" i="1"/>
  <c r="J59" i="1"/>
  <c r="J71" i="1"/>
  <c r="G88" i="1"/>
  <c r="J21" i="1" s="1"/>
  <c r="G24" i="1"/>
  <c r="G28" i="1"/>
  <c r="G41" i="1"/>
  <c r="G45" i="1"/>
  <c r="G51" i="1"/>
  <c r="G57" i="1"/>
  <c r="G62" i="1"/>
  <c r="G69" i="1"/>
  <c r="J23" i="1"/>
  <c r="J27" i="1"/>
  <c r="J34" i="1"/>
  <c r="J40" i="1"/>
  <c r="J44" i="1"/>
  <c r="J50" i="1"/>
  <c r="J56" i="1"/>
  <c r="J72" i="1"/>
  <c r="J37" i="1"/>
  <c r="J49" i="1"/>
  <c r="G89" i="1"/>
  <c r="G42" i="1"/>
  <c r="G48" i="1"/>
  <c r="G52" i="1"/>
  <c r="G58" i="1"/>
  <c r="G65" i="1"/>
  <c r="G70" i="1"/>
  <c r="J24" i="1"/>
  <c r="J28" i="1"/>
  <c r="J35" i="1"/>
  <c r="J41" i="1"/>
  <c r="J45" i="1"/>
  <c r="J51" i="1"/>
  <c r="J62" i="1"/>
  <c r="I75" i="1"/>
  <c r="J75" i="1"/>
  <c r="J16" i="1" l="1"/>
  <c r="J15" i="1"/>
  <c r="J14" i="1"/>
  <c r="J25" i="1"/>
  <c r="J68" i="1"/>
  <c r="J18" i="1" s="1"/>
  <c r="J6" i="1" l="1"/>
  <c r="J13" i="1"/>
  <c r="D17" i="1" l="1"/>
  <c r="B77" i="1"/>
  <c r="G77" i="1" s="1"/>
  <c r="B76" i="1"/>
  <c r="B68" i="1"/>
  <c r="E68" i="1"/>
  <c r="D45" i="1"/>
  <c r="D44" i="1"/>
  <c r="C45" i="1" s="1"/>
  <c r="D43" i="1"/>
  <c r="C44" i="1" s="1"/>
  <c r="E44" i="1" s="1"/>
  <c r="D42" i="1"/>
  <c r="C43" i="1" s="1"/>
  <c r="D41" i="1"/>
  <c r="D40" i="1"/>
  <c r="C40" i="1"/>
  <c r="E40" i="1" s="1"/>
  <c r="B37" i="1"/>
  <c r="B36" i="1"/>
  <c r="B35" i="1"/>
  <c r="B34" i="1"/>
  <c r="B33" i="1"/>
  <c r="B32" i="1"/>
  <c r="C72" i="1"/>
  <c r="E72" i="1" s="1"/>
  <c r="C71" i="1"/>
  <c r="E71" i="1" s="1"/>
  <c r="E70" i="1"/>
  <c r="C59" i="1"/>
  <c r="C60" i="1" s="1"/>
  <c r="E60" i="1" s="1"/>
  <c r="C58" i="1"/>
  <c r="C57" i="1"/>
  <c r="E57" i="1" s="1"/>
  <c r="C53" i="1"/>
  <c r="E53" i="1" s="1"/>
  <c r="C52" i="1"/>
  <c r="E52" i="1" s="1"/>
  <c r="C50" i="1"/>
  <c r="C49" i="1"/>
  <c r="E49" i="1" s="1"/>
  <c r="C41" i="1"/>
  <c r="E41" i="1" s="1"/>
  <c r="C37" i="1"/>
  <c r="E37" i="1" s="1"/>
  <c r="C36" i="1"/>
  <c r="E36" i="1" s="1"/>
  <c r="C35" i="1"/>
  <c r="E35" i="1" s="1"/>
  <c r="C34" i="1"/>
  <c r="E34" i="1" s="1"/>
  <c r="C33" i="1"/>
  <c r="E33" i="1" s="1"/>
  <c r="E78" i="1"/>
  <c r="E77" i="1"/>
  <c r="E76" i="1"/>
  <c r="E69" i="1"/>
  <c r="E67" i="1"/>
  <c r="E65" i="1"/>
  <c r="E62" i="1"/>
  <c r="E59" i="1"/>
  <c r="E58" i="1"/>
  <c r="E56" i="1"/>
  <c r="E51" i="1"/>
  <c r="E48" i="1"/>
  <c r="E28" i="1"/>
  <c r="E27" i="1"/>
  <c r="E26" i="1"/>
  <c r="E25" i="1"/>
  <c r="E24" i="1"/>
  <c r="E23" i="1"/>
  <c r="E21" i="1"/>
  <c r="E32" i="1"/>
  <c r="D13" i="1"/>
  <c r="B25" i="1"/>
  <c r="B21" i="1"/>
  <c r="H7" i="1" l="1"/>
  <c r="E45" i="1"/>
  <c r="D46" i="1"/>
  <c r="C42" i="1"/>
  <c r="C6" i="1" s="1"/>
  <c r="E43" i="1"/>
  <c r="I35" i="1"/>
  <c r="G35" i="1"/>
  <c r="I68" i="1"/>
  <c r="I18" i="1" s="1"/>
  <c r="G68" i="1"/>
  <c r="B6" i="1"/>
  <c r="G21" i="1"/>
  <c r="I21" i="1"/>
  <c r="G25" i="1"/>
  <c r="I25" i="1"/>
  <c r="I32" i="1"/>
  <c r="G32" i="1"/>
  <c r="I36" i="1"/>
  <c r="G36" i="1"/>
  <c r="B75" i="1"/>
  <c r="G76" i="1"/>
  <c r="G75" i="1" s="1"/>
  <c r="I33" i="1"/>
  <c r="G33" i="1"/>
  <c r="I37" i="1"/>
  <c r="G37" i="1"/>
  <c r="G34" i="1"/>
  <c r="I34" i="1"/>
  <c r="D14" i="1"/>
  <c r="F75" i="1"/>
  <c r="E50" i="1"/>
  <c r="E42" i="1" l="1"/>
  <c r="F6" i="1" s="1"/>
  <c r="I13" i="1"/>
  <c r="I6" i="1"/>
  <c r="I14" i="1"/>
  <c r="G6" i="1"/>
  <c r="J7" i="1" s="1"/>
  <c r="D6" i="1"/>
  <c r="E6" i="1" s="1"/>
</calcChain>
</file>

<file path=xl/sharedStrings.xml><?xml version="1.0" encoding="utf-8"?>
<sst xmlns="http://schemas.openxmlformats.org/spreadsheetml/2006/main" count="199" uniqueCount="123">
  <si>
    <t>Business Case or Proposal approved</t>
  </si>
  <si>
    <t>Project planning approved</t>
  </si>
  <si>
    <t>Project outputs completed</t>
  </si>
  <si>
    <t>Commence operational use</t>
  </si>
  <si>
    <t>First benefits measurement</t>
  </si>
  <si>
    <t>Project closed</t>
  </si>
  <si>
    <t>MILESTONES</t>
  </si>
  <si>
    <t>Start</t>
  </si>
  <si>
    <t>Finish</t>
  </si>
  <si>
    <t>Resources</t>
  </si>
  <si>
    <t>ACTIVITY</t>
  </si>
  <si>
    <r>
      <t>Duration</t>
    </r>
    <r>
      <rPr>
        <sz val="11"/>
        <color theme="0"/>
        <rFont val="Calibri"/>
        <family val="2"/>
        <scheme val="minor"/>
      </rPr>
      <t xml:space="preserve"> (d)</t>
    </r>
  </si>
  <si>
    <r>
      <t>Work</t>
    </r>
    <r>
      <rPr>
        <sz val="11"/>
        <color theme="0"/>
        <rFont val="Calibri"/>
        <family val="2"/>
        <scheme val="minor"/>
      </rPr>
      <t xml:space="preserve"> (d)</t>
    </r>
  </si>
  <si>
    <t>PLAN PHASE</t>
  </si>
  <si>
    <t>Develop plans</t>
  </si>
  <si>
    <t>IMPLEMENT PHASE</t>
  </si>
  <si>
    <t>Handover to operational use</t>
  </si>
  <si>
    <t>Approve / sign off implementation</t>
  </si>
  <si>
    <t>CLOSE PHASE</t>
  </si>
  <si>
    <t>Notify stakeholders of implementation</t>
  </si>
  <si>
    <t>Review project</t>
  </si>
  <si>
    <t>POST-PROJECT OPERATIONS</t>
  </si>
  <si>
    <t>Reinforce business change</t>
  </si>
  <si>
    <t>Close project financials</t>
  </si>
  <si>
    <t>Confirm budget</t>
  </si>
  <si>
    <t>Develop schedule</t>
  </si>
  <si>
    <t>Develop PID</t>
  </si>
  <si>
    <t>Confirm business requirements</t>
  </si>
  <si>
    <t>Identify risks (risk workshop)</t>
  </si>
  <si>
    <t>Review PID</t>
  </si>
  <si>
    <t>Approve PID</t>
  </si>
  <si>
    <t>Operational readiness</t>
  </si>
  <si>
    <t>&lt;Potential process adjustment activities&gt;</t>
  </si>
  <si>
    <t>&lt;Potential team internal comms / training&gt;</t>
  </si>
  <si>
    <t>&lt;Final preparations before operations&gt;</t>
  </si>
  <si>
    <t>&lt;Commence operational use&gt;</t>
  </si>
  <si>
    <t>&lt;Commence operational support services&gt;</t>
  </si>
  <si>
    <t>Run lessons learned workshop</t>
  </si>
  <si>
    <t>Review project against plans</t>
  </si>
  <si>
    <t>Identify follow-on recommendations</t>
  </si>
  <si>
    <t>Develop PIR</t>
  </si>
  <si>
    <t>Review PIR</t>
  </si>
  <si>
    <t>Approve PIR</t>
  </si>
  <si>
    <t>Measure benefits, sustain outcomes</t>
  </si>
  <si>
    <t>Project Manager</t>
  </si>
  <si>
    <t>Business Owner, Project Manager</t>
  </si>
  <si>
    <t>Business Owner</t>
  </si>
  <si>
    <t>Delivery team</t>
  </si>
  <si>
    <t>Support services</t>
  </si>
  <si>
    <t/>
  </si>
  <si>
    <t>Management Accountant</t>
  </si>
  <si>
    <t>Business Owner, Project Manager, delivery team</t>
  </si>
  <si>
    <t>Operational readiness developed</t>
  </si>
  <si>
    <t>PUBLIC HOLIDAYS</t>
  </si>
  <si>
    <t>Queen's birthday</t>
  </si>
  <si>
    <t>Labour day</t>
  </si>
  <si>
    <t>Easter Monday</t>
  </si>
  <si>
    <t>Good Friday</t>
  </si>
  <si>
    <t>Anzac day</t>
  </si>
  <si>
    <t>Christmas holiday</t>
  </si>
  <si>
    <t>New Year</t>
  </si>
  <si>
    <t>Done (d)</t>
  </si>
  <si>
    <t>Expense</t>
  </si>
  <si>
    <t>Cost (d)</t>
  </si>
  <si>
    <t>COSTS</t>
  </si>
  <si>
    <t>HEW7.3 + on-costs 27.5%</t>
  </si>
  <si>
    <t>HEW9.3 + on-costs 27.5%</t>
  </si>
  <si>
    <t>Negotiated salary $150K</t>
  </si>
  <si>
    <t>Average of above</t>
  </si>
  <si>
    <t>Biased average of above</t>
  </si>
  <si>
    <r>
      <t>Done</t>
    </r>
    <r>
      <rPr>
        <sz val="11"/>
        <color theme="0"/>
        <rFont val="Calibri"/>
        <family val="2"/>
        <scheme val="minor"/>
      </rPr>
      <t xml:space="preserve"> </t>
    </r>
    <r>
      <rPr>
        <b/>
        <sz val="11"/>
        <color theme="0"/>
        <rFont val="Calibri"/>
        <family val="2"/>
        <scheme val="minor"/>
      </rPr>
      <t>%</t>
    </r>
  </si>
  <si>
    <t>PROJECT DELIVERY OVERALL</t>
  </si>
  <si>
    <t>&lt;PROJECT NAME&gt;</t>
  </si>
  <si>
    <t>Project schedule</t>
  </si>
  <si>
    <t>&lt;Name&gt;</t>
  </si>
  <si>
    <t>PLANNING</t>
  </si>
  <si>
    <t>PROJECT CONTROL</t>
  </si>
  <si>
    <t>The template has three elements to it:</t>
  </si>
  <si>
    <t>2) Activities grouped by project phase and most common outputs from projects. The Project Manager / Project Coordinator should update this section continuously to reflect the true state of and plans for the project.</t>
  </si>
  <si>
    <t>1) List of milestones. These show the overall progress of the project and are used in reporting to the Business Owner (Project Sponsor) and other stakeholders. The dates indicate when the respective milestone will or has been achieved, and they are read from the respective lines in the actual schedule.</t>
  </si>
  <si>
    <t>3) Post-project operations. These are common activities which take place after the project has closed. Some of them can start while the project is implemented. They should be handed over to and performed by the respective stakeholders.</t>
  </si>
  <si>
    <t>The following fields are used in the schedule. Additional fields can be freely added, if needed.</t>
  </si>
  <si>
    <t>Two lists at the bottom of the schedule worksheet are used in formulas related to durations and costs and if any modifications are made, the respective name ranges and formulas should be updated, where needed.</t>
  </si>
  <si>
    <t>Work (d)</t>
  </si>
  <si>
    <t>Duration (d)</t>
  </si>
  <si>
    <t>Completed during the project planning, updated throughout the project</t>
  </si>
  <si>
    <t>ACU Enterprise Agreement</t>
  </si>
  <si>
    <r>
      <t xml:space="preserve">* </t>
    </r>
    <r>
      <rPr>
        <b/>
        <sz val="11"/>
        <color theme="1"/>
        <rFont val="Tahoma"/>
        <family val="2"/>
      </rPr>
      <t>Activity</t>
    </r>
    <r>
      <rPr>
        <sz val="11"/>
        <color theme="1"/>
        <rFont val="Tahoma"/>
        <family val="2"/>
      </rPr>
      <t xml:space="preserve"> - The name of each individual activity, summary-level activity or grouping. Each activity should start with a verb, followed by an object.</t>
    </r>
  </si>
  <si>
    <r>
      <t xml:space="preserve">* </t>
    </r>
    <r>
      <rPr>
        <b/>
        <sz val="11"/>
        <color theme="1"/>
        <rFont val="Tahoma"/>
        <family val="2"/>
      </rPr>
      <t>Work (d)</t>
    </r>
    <r>
      <rPr>
        <sz val="11"/>
        <color theme="1"/>
        <rFont val="Tahoma"/>
        <family val="2"/>
      </rPr>
      <t xml:space="preserve"> - The work effort estimated for each activity. Expressed in workdays or part days (e.g. '3' for 3 days, '0.5' for half a days worth of effort). Please remember to sum up or multiply the effort by the number of staff engaged in the activity (e.g. three staff doing two days each = 6).</t>
    </r>
  </si>
  <si>
    <r>
      <t xml:space="preserve">* </t>
    </r>
    <r>
      <rPr>
        <b/>
        <sz val="11"/>
        <color theme="1"/>
        <rFont val="Tahoma"/>
        <family val="2"/>
      </rPr>
      <t>Start</t>
    </r>
    <r>
      <rPr>
        <sz val="11"/>
        <color theme="1"/>
        <rFont val="Tahoma"/>
        <family val="2"/>
      </rPr>
      <t xml:space="preserve"> - The date the task is planned to start or did start.</t>
    </r>
  </si>
  <si>
    <r>
      <t xml:space="preserve">* </t>
    </r>
    <r>
      <rPr>
        <b/>
        <sz val="11"/>
        <color theme="1"/>
        <rFont val="Tahoma"/>
        <family val="2"/>
      </rPr>
      <t>Finish</t>
    </r>
    <r>
      <rPr>
        <sz val="11"/>
        <color theme="1"/>
        <rFont val="Tahoma"/>
        <family val="2"/>
      </rPr>
      <t xml:space="preserve"> - The date the task is planned to be finished or did finish.</t>
    </r>
  </si>
  <si>
    <r>
      <t xml:space="preserve">* </t>
    </r>
    <r>
      <rPr>
        <b/>
        <sz val="11"/>
        <color theme="1"/>
        <rFont val="Tahoma"/>
        <family val="2"/>
      </rPr>
      <t>Duration (d)</t>
    </r>
    <r>
      <rPr>
        <sz val="11"/>
        <color theme="1"/>
        <rFont val="Tahoma"/>
        <family val="2"/>
      </rPr>
      <t xml:space="preserve"> - Calculated automatically. The number of workdays (in calendar) spent on an activity.</t>
    </r>
  </si>
  <si>
    <r>
      <t xml:space="preserve">* </t>
    </r>
    <r>
      <rPr>
        <b/>
        <sz val="11"/>
        <color theme="1"/>
        <rFont val="Tahoma"/>
        <family val="2"/>
      </rPr>
      <t>Resources</t>
    </r>
    <r>
      <rPr>
        <sz val="11"/>
        <color theme="1"/>
        <rFont val="Tahoma"/>
        <family val="2"/>
      </rPr>
      <t xml:space="preserve"> - The staff, stakeholders and suppliers engaged in working on an activity. The names listed here need to be included also in the 'Costs' section at the bottom of the worksheet with their respective salary or other cost level. Staff salaries can be found in the Enterprise Agreement (link below).
The summary % on top of the worksheet indicates the overall FTE load (Work (d) compared to duration).</t>
    </r>
  </si>
  <si>
    <r>
      <t xml:space="preserve">* </t>
    </r>
    <r>
      <rPr>
        <b/>
        <sz val="11"/>
        <color theme="1"/>
        <rFont val="Tahoma"/>
        <family val="2"/>
      </rPr>
      <t>Done (d)</t>
    </r>
    <r>
      <rPr>
        <sz val="11"/>
        <color theme="1"/>
        <rFont val="Tahoma"/>
        <family val="2"/>
      </rPr>
      <t xml:space="preserve"> - The number of workdays spent so far or in total on an activity.</t>
    </r>
  </si>
  <si>
    <r>
      <t xml:space="preserve">* </t>
    </r>
    <r>
      <rPr>
        <b/>
        <sz val="11"/>
        <color theme="1"/>
        <rFont val="Tahoma"/>
        <family val="2"/>
      </rPr>
      <t>Done %</t>
    </r>
    <r>
      <rPr>
        <sz val="11"/>
        <color theme="1"/>
        <rFont val="Tahoma"/>
        <family val="2"/>
      </rPr>
      <t xml:space="preserve"> - Calculated automatically. The ratio of work done compared to the planned work (i.e. 'Done (d)' divided by 'Work (d)', expressed as %). If the work has taken less effort to complete, the value should be overridden and marked as 100%.
The total % value in the 'Project delivery overall' row is the "% complete" and can be used in reports.</t>
    </r>
  </si>
  <si>
    <r>
      <t xml:space="preserve">* </t>
    </r>
    <r>
      <rPr>
        <b/>
        <sz val="11"/>
        <color theme="1"/>
        <rFont val="Tahoma"/>
        <family val="2"/>
      </rPr>
      <t>Expense</t>
    </r>
    <r>
      <rPr>
        <sz val="11"/>
        <color theme="1"/>
        <rFont val="Tahoma"/>
        <family val="2"/>
      </rPr>
      <t xml:space="preserve"> - Automatically calculated. Multiplies the daily cost by the days spent (i.e. Cost (d) * Done (d)). Any procurement costs should be added seperately.</t>
    </r>
  </si>
  <si>
    <r>
      <t xml:space="preserve">* </t>
    </r>
    <r>
      <rPr>
        <b/>
        <sz val="11"/>
        <color theme="1"/>
        <rFont val="Tahoma"/>
        <family val="2"/>
      </rPr>
      <t>Cost (d)</t>
    </r>
    <r>
      <rPr>
        <sz val="11"/>
        <color theme="1"/>
        <rFont val="Tahoma"/>
        <family val="2"/>
      </rPr>
      <t xml:space="preserve"> - Calculated automatically. The cost of work for an activity. If the project is funded from operational funds (opex), the total amount is what the respective financial delegate is looking to spend from their funds. The cost is calculated by using the 'Costs' list at the bottom of the worksheet. The resource name on an activity is looked up from the list and the respective daily cost is returned back to the formula.
If an activity has procurement costs, they can be added to the respective cell.</t>
    </r>
  </si>
  <si>
    <t>Updated throughout the project (control the project)</t>
  </si>
  <si>
    <t>Workload</t>
  </si>
  <si>
    <t>Cost estimate</t>
  </si>
  <si>
    <t>% complete</t>
  </si>
  <si>
    <t>Actual cost</t>
  </si>
  <si>
    <t>Please note that this template does not facilitate baselines! Baselines refer to the approved budget and timeline, and facilitate comparisons of the actual progress against those. If this needs to be reported in the project, a simple way to assist this is to add the respective information about approved budget and timeline near the 'Project delivery overall' section and write the respective narrative in the status reporting.</t>
  </si>
  <si>
    <t>Stage 1 - First output from the project</t>
  </si>
  <si>
    <t>Stage 2 - Second output from the project</t>
  </si>
  <si>
    <t>&lt;The activities required to develop the output&gt;</t>
  </si>
  <si>
    <t>&lt;The activities required to implement the output&gt;</t>
  </si>
  <si>
    <t>First output complete</t>
  </si>
  <si>
    <t>Second output complete</t>
  </si>
  <si>
    <t>Operational readiness complete</t>
  </si>
  <si>
    <t>Handover complete, commence operational use</t>
  </si>
  <si>
    <t>(last updated)</t>
  </si>
  <si>
    <t>(updated by)</t>
  </si>
  <si>
    <t>This banner summarises the data in the schedule. If you amend rows into the schedule, please ensure the formulas in this section cover the plan, implement and close phases of the project. 'Workload' indicates the total FTE load but does not distinguish between roles. The 'Cost estimate' is the total cost that the Business Owner needs to be prepared to allow the project to use.</t>
  </si>
  <si>
    <t>The fields 'Done (d)', '% complete', and 'Actual cost' refer to the realised effort and cost as entered by the Project Manager. The "traffic lights" below them indicate the health of the parametres compared to the planned values. Green (text "OK") = actuals below the planned values, amber (text "Monitor") = max 10% overrun, red (text "Review!") = overrun at least 10% and the project plans and delivery should be reviewed with the Business Owner.</t>
  </si>
  <si>
    <t>HOW TO USE THE TEMPLATE?</t>
  </si>
  <si>
    <t>Data in cells with white background can be freely changed to suit the project. Data with pale grey background is calculated based on inputs and re intended to remain as are.</t>
  </si>
  <si>
    <t>Especially in the Implement Phase section, the Project Manager can freely add and remove stages and individual activities. Please note, however, that the approach recommended in the schedule intends to prompt for planning of readiness and handover / adoption activities and should be included in the schedule in a form that best suits the project.</t>
  </si>
  <si>
    <t>Resource names can be changed, as required. A good practice is to refer to roles rather than individual names but this is left at the Project Manager's discression.
If resource names are changed or new ones added, the relevant staff cost should be reflected in the respective section below the schedule.</t>
  </si>
  <si>
    <t>FIELDS USED FOR SCHEDULING</t>
  </si>
  <si>
    <t>PROJECT DELIVERY OVERALL BANNER</t>
  </si>
  <si>
    <t>Project schedule for simple projects</t>
  </si>
  <si>
    <t>This workbook is a schedule template for simple (small) projects. It can be used to provide a starting point for developing a schedule to manage a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</si>
</sst>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d\ mmm\ yy"/>
    <numFmt numFmtId="165" formatCode="d\ mmm"/>
  </numFmts>
  <fonts count="1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0" tint="-0.249977111117893"/>
      <name val="Calibri"/>
      <family val="2"/>
      <scheme val="minor"/>
    </font>
    <font>
      <sz val="11"/>
      <color theme="0" tint="-0.249977111117893"/>
      <name val="Calibri"/>
      <family val="2"/>
      <scheme val="minor"/>
    </font>
    <font>
      <b/>
      <sz val="14"/>
      <color theme="1"/>
      <name val="Calibri"/>
      <family val="2"/>
      <scheme val="minor"/>
    </font>
    <font>
      <u/>
      <sz val="11"/>
      <color theme="10"/>
      <name val="Calibri"/>
      <family val="2"/>
      <scheme val="minor"/>
    </font>
    <font>
      <b/>
      <sz val="14"/>
      <color theme="1"/>
      <name val="Tahoma"/>
      <family val="2"/>
    </font>
    <font>
      <sz val="11"/>
      <color theme="1"/>
      <name val="Tahoma"/>
      <family val="2"/>
    </font>
    <font>
      <b/>
      <sz val="11"/>
      <color theme="1"/>
      <name val="Tahoma"/>
      <family val="2"/>
    </font>
    <font>
      <u/>
      <sz val="11"/>
      <color theme="10"/>
      <name val="Tahoma"/>
      <family val="2"/>
    </font>
  </fonts>
  <fills count="9">
    <fill>
      <patternFill patternType="none"/>
    </fill>
    <fill>
      <patternFill patternType="gray125"/>
    </fill>
    <fill>
      <patternFill patternType="solid">
        <fgColor rgb="FF7030A0"/>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2">
    <xf numFmtId="0" fontId="0" fillId="0" borderId="0"/>
    <xf numFmtId="0" fontId="7" fillId="0" borderId="0" applyNumberFormat="0" applyFill="0" applyBorder="0" applyAlignment="0" applyProtection="0"/>
  </cellStyleXfs>
  <cellXfs count="113">
    <xf numFmtId="0" fontId="0" fillId="0" borderId="0" xfId="0"/>
    <xf numFmtId="0" fontId="0" fillId="3" borderId="0" xfId="0" applyFill="1"/>
    <xf numFmtId="0" fontId="0" fillId="0" borderId="4" xfId="0" applyBorder="1"/>
    <xf numFmtId="0" fontId="0" fillId="0" borderId="0" xfId="0" applyBorder="1"/>
    <xf numFmtId="0" fontId="0" fillId="0" borderId="6" xfId="0" applyBorder="1"/>
    <xf numFmtId="0" fontId="0" fillId="0" borderId="7" xfId="0" applyBorder="1"/>
    <xf numFmtId="0" fontId="0" fillId="0" borderId="0" xfId="0" quotePrefix="1"/>
    <xf numFmtId="0" fontId="0" fillId="0" borderId="0"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3" borderId="0" xfId="0" applyFill="1" applyAlignment="1">
      <alignment horizontal="center"/>
    </xf>
    <xf numFmtId="165" fontId="0" fillId="0" borderId="0" xfId="0" applyNumberFormat="1" applyAlignment="1">
      <alignment horizontal="center"/>
    </xf>
    <xf numFmtId="165" fontId="0" fillId="0" borderId="0" xfId="0" applyNumberFormat="1" applyBorder="1" applyAlignment="1">
      <alignment horizontal="center"/>
    </xf>
    <xf numFmtId="165" fontId="0" fillId="0" borderId="7" xfId="0" applyNumberFormat="1" applyBorder="1" applyAlignment="1">
      <alignment horizontal="center"/>
    </xf>
    <xf numFmtId="6" fontId="0" fillId="0" borderId="0" xfId="0" applyNumberFormat="1" applyAlignment="1">
      <alignment horizontal="center"/>
    </xf>
    <xf numFmtId="0" fontId="2" fillId="3" borderId="0" xfId="0" applyFont="1" applyFill="1" applyAlignment="1">
      <alignment vertical="center"/>
    </xf>
    <xf numFmtId="0" fontId="2" fillId="3" borderId="0" xfId="0" applyFont="1" applyFill="1" applyAlignment="1">
      <alignment horizontal="center" vertical="center"/>
    </xf>
    <xf numFmtId="164" fontId="2" fillId="3" borderId="0" xfId="0" applyNumberFormat="1" applyFont="1" applyFill="1" applyAlignment="1">
      <alignment horizontal="center" vertical="center"/>
    </xf>
    <xf numFmtId="9" fontId="2" fillId="3" borderId="0" xfId="0" applyNumberFormat="1" applyFont="1" applyFill="1" applyAlignment="1">
      <alignment horizontal="center" vertical="center"/>
    </xf>
    <xf numFmtId="6" fontId="2" fillId="3" borderId="0" xfId="0" applyNumberFormat="1" applyFont="1" applyFill="1" applyAlignment="1">
      <alignment horizontal="center" vertical="center"/>
    </xf>
    <xf numFmtId="6" fontId="0" fillId="0" borderId="0" xfId="0" applyNumberFormat="1" applyBorder="1" applyAlignment="1">
      <alignment horizontal="center"/>
    </xf>
    <xf numFmtId="164" fontId="0" fillId="0" borderId="5" xfId="0" applyNumberFormat="1" applyBorder="1" applyAlignment="1">
      <alignment horizontal="center"/>
    </xf>
    <xf numFmtId="0" fontId="0" fillId="4" borderId="0" xfId="0" applyFill="1" applyBorder="1" applyAlignment="1">
      <alignment horizontal="center"/>
    </xf>
    <xf numFmtId="0" fontId="0" fillId="4" borderId="0" xfId="0" applyFill="1" applyBorder="1"/>
    <xf numFmtId="0" fontId="0" fillId="4" borderId="0" xfId="0" applyFill="1" applyAlignment="1">
      <alignment horizontal="center"/>
    </xf>
    <xf numFmtId="0" fontId="0" fillId="4" borderId="0" xfId="0" quotePrefix="1" applyFill="1"/>
    <xf numFmtId="0" fontId="0" fillId="4" borderId="0" xfId="0" applyFill="1"/>
    <xf numFmtId="0" fontId="4" fillId="4" borderId="0" xfId="0" applyFont="1" applyFill="1"/>
    <xf numFmtId="0" fontId="5" fillId="4" borderId="0" xfId="0" applyFont="1" applyFill="1" applyAlignment="1">
      <alignment horizontal="center"/>
    </xf>
    <xf numFmtId="0" fontId="5" fillId="4" borderId="0" xfId="0" applyFont="1" applyFill="1"/>
    <xf numFmtId="6" fontId="5" fillId="4" borderId="0" xfId="0" applyNumberFormat="1" applyFont="1" applyFill="1" applyAlignment="1">
      <alignment horizontal="center"/>
    </xf>
    <xf numFmtId="164" fontId="5" fillId="4" borderId="0" xfId="0" applyNumberFormat="1" applyFont="1" applyFill="1" applyAlignment="1">
      <alignment horizontal="center"/>
    </xf>
    <xf numFmtId="164" fontId="0" fillId="4" borderId="0" xfId="0" applyNumberFormat="1" applyFill="1" applyAlignment="1">
      <alignment horizontal="center"/>
    </xf>
    <xf numFmtId="0" fontId="2" fillId="4" borderId="0" xfId="0" applyFont="1" applyFill="1" applyAlignment="1">
      <alignment horizontal="center"/>
    </xf>
    <xf numFmtId="0" fontId="6" fillId="4" borderId="0" xfId="0" applyFont="1" applyFill="1" applyAlignment="1">
      <alignment horizontal="center"/>
    </xf>
    <xf numFmtId="0" fontId="0" fillId="4" borderId="0" xfId="0" applyFill="1" applyAlignment="1">
      <alignment horizontal="right"/>
    </xf>
    <xf numFmtId="0" fontId="0" fillId="0" borderId="12" xfId="0" applyBorder="1"/>
    <xf numFmtId="9" fontId="0" fillId="0" borderId="0" xfId="0" applyNumberFormat="1" applyBorder="1" applyAlignment="1">
      <alignment horizontal="center"/>
    </xf>
    <xf numFmtId="6" fontId="0" fillId="0" borderId="13" xfId="0" applyNumberFormat="1" applyBorder="1" applyAlignment="1">
      <alignment horizontal="center"/>
    </xf>
    <xf numFmtId="0" fontId="0" fillId="0" borderId="12" xfId="0" applyFont="1" applyBorder="1"/>
    <xf numFmtId="0" fontId="0" fillId="0" borderId="12" xfId="0" applyBorder="1" applyAlignment="1">
      <alignment horizontal="left" indent="2"/>
    </xf>
    <xf numFmtId="0" fontId="0" fillId="0" borderId="12" xfId="0" quotePrefix="1" applyBorder="1"/>
    <xf numFmtId="0" fontId="0" fillId="0" borderId="14" xfId="0" applyBorder="1" applyAlignment="1">
      <alignment horizontal="left"/>
    </xf>
    <xf numFmtId="0" fontId="0" fillId="0" borderId="15" xfId="0" applyBorder="1" applyAlignment="1">
      <alignment horizontal="center"/>
    </xf>
    <xf numFmtId="165" fontId="0" fillId="0" borderId="15" xfId="0" applyNumberFormat="1" applyBorder="1" applyAlignment="1">
      <alignment horizontal="center"/>
    </xf>
    <xf numFmtId="0" fontId="0" fillId="0" borderId="15" xfId="0" applyBorder="1"/>
    <xf numFmtId="0" fontId="2" fillId="5" borderId="0" xfId="0" applyFont="1" applyFill="1" applyAlignment="1">
      <alignment vertical="center"/>
    </xf>
    <xf numFmtId="0" fontId="0" fillId="5" borderId="0" xfId="0" applyFill="1" applyAlignment="1">
      <alignment horizontal="center" vertical="center"/>
    </xf>
    <xf numFmtId="0" fontId="0" fillId="5" borderId="0" xfId="0" applyFill="1" applyAlignment="1">
      <alignment vertical="center"/>
    </xf>
    <xf numFmtId="0" fontId="1" fillId="6" borderId="0" xfId="0" applyFont="1" applyFill="1" applyAlignment="1">
      <alignment horizontal="left" vertical="center"/>
    </xf>
    <xf numFmtId="0" fontId="0" fillId="6" borderId="0" xfId="0" applyFill="1" applyAlignment="1">
      <alignment horizontal="center" vertical="center"/>
    </xf>
    <xf numFmtId="0" fontId="1" fillId="2" borderId="0" xfId="0" applyFont="1" applyFill="1" applyAlignment="1">
      <alignment horizontal="center" vertical="center"/>
    </xf>
    <xf numFmtId="0" fontId="2" fillId="3" borderId="1" xfId="0" applyFont="1" applyFill="1" applyBorder="1" applyAlignment="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0" xfId="0" applyFill="1" applyAlignment="1">
      <alignment horizontal="center" vertical="center"/>
    </xf>
    <xf numFmtId="0" fontId="2" fillId="3" borderId="2" xfId="0" applyFont="1" applyFill="1" applyBorder="1" applyAlignment="1">
      <alignment horizontal="center" vertical="center"/>
    </xf>
    <xf numFmtId="164" fontId="2" fillId="3" borderId="2" xfId="0" applyNumberFormat="1" applyFont="1" applyFill="1" applyBorder="1" applyAlignment="1">
      <alignment horizontal="center" vertical="center"/>
    </xf>
    <xf numFmtId="9" fontId="2" fillId="3" borderId="2" xfId="0" applyNumberFormat="1" applyFont="1" applyFill="1" applyBorder="1" applyAlignment="1">
      <alignment horizontal="center" vertical="center"/>
    </xf>
    <xf numFmtId="6" fontId="2" fillId="3" borderId="2" xfId="0" applyNumberFormat="1" applyFont="1" applyFill="1" applyBorder="1" applyAlignment="1">
      <alignment horizontal="center" vertical="center"/>
    </xf>
    <xf numFmtId="6" fontId="2" fillId="3" borderId="3" xfId="0" applyNumberFormat="1" applyFont="1" applyFill="1" applyBorder="1" applyAlignment="1">
      <alignment horizontal="center" vertical="center"/>
    </xf>
    <xf numFmtId="0" fontId="2" fillId="3" borderId="12" xfId="0" applyFont="1" applyFill="1" applyBorder="1" applyAlignment="1">
      <alignment vertical="center"/>
    </xf>
    <xf numFmtId="0" fontId="0" fillId="3" borderId="0" xfId="0" applyFill="1" applyBorder="1" applyAlignment="1">
      <alignment horizontal="center" vertical="center"/>
    </xf>
    <xf numFmtId="165" fontId="0" fillId="3" borderId="0" xfId="0" applyNumberFormat="1" applyFill="1" applyBorder="1" applyAlignment="1">
      <alignment horizontal="center" vertical="center"/>
    </xf>
    <xf numFmtId="0" fontId="0" fillId="3" borderId="0" xfId="0" applyFill="1" applyBorder="1" applyAlignment="1">
      <alignment vertical="center"/>
    </xf>
    <xf numFmtId="0" fontId="0" fillId="3" borderId="13" xfId="0" applyFill="1" applyBorder="1" applyAlignment="1">
      <alignment horizontal="center" vertical="center"/>
    </xf>
    <xf numFmtId="0" fontId="2" fillId="3" borderId="9" xfId="0" applyFont="1" applyFill="1" applyBorder="1" applyAlignment="1">
      <alignment vertical="center"/>
    </xf>
    <xf numFmtId="0" fontId="0" fillId="3" borderId="10" xfId="0" applyFill="1" applyBorder="1" applyAlignment="1">
      <alignment horizontal="center" vertical="center"/>
    </xf>
    <xf numFmtId="0" fontId="0" fillId="3" borderId="10" xfId="0" applyFill="1" applyBorder="1" applyAlignment="1">
      <alignment vertical="center"/>
    </xf>
    <xf numFmtId="0" fontId="0" fillId="3" borderId="11" xfId="0" applyFill="1" applyBorder="1" applyAlignment="1">
      <alignment horizontal="center" vertical="center"/>
    </xf>
    <xf numFmtId="0" fontId="0" fillId="3" borderId="0" xfId="0" applyFont="1" applyFill="1" applyAlignment="1">
      <alignment horizontal="center" vertical="center"/>
    </xf>
    <xf numFmtId="0" fontId="8" fillId="4" borderId="0" xfId="0" applyFont="1" applyFill="1" applyAlignment="1">
      <alignment horizontal="center" vertical="center"/>
    </xf>
    <xf numFmtId="0" fontId="9" fillId="4" borderId="0" xfId="0" applyFont="1" applyFill="1" applyAlignment="1">
      <alignment vertical="center"/>
    </xf>
    <xf numFmtId="0" fontId="9" fillId="4" borderId="0" xfId="0" applyFont="1" applyFill="1" applyAlignment="1">
      <alignment vertical="center" wrapText="1"/>
    </xf>
    <xf numFmtId="0" fontId="9" fillId="4" borderId="0" xfId="0" applyFont="1" applyFill="1" applyAlignment="1">
      <alignment horizontal="left" vertical="center" wrapText="1"/>
    </xf>
    <xf numFmtId="0" fontId="10" fillId="4" borderId="0" xfId="0" applyFont="1" applyFill="1" applyAlignment="1">
      <alignment vertical="center"/>
    </xf>
    <xf numFmtId="0" fontId="9" fillId="4" borderId="0" xfId="0" applyFont="1" applyFill="1" applyAlignment="1">
      <alignment horizontal="left" vertical="center" wrapText="1" indent="2"/>
    </xf>
    <xf numFmtId="0" fontId="9" fillId="4" borderId="0" xfId="0" applyFont="1" applyFill="1" applyAlignment="1">
      <alignment horizontal="left" vertical="center" indent="2"/>
    </xf>
    <xf numFmtId="0" fontId="2" fillId="0" borderId="12" xfId="0" applyFont="1" applyBorder="1"/>
    <xf numFmtId="0" fontId="2" fillId="0" borderId="0" xfId="0" applyFont="1" applyBorder="1" applyAlignment="1">
      <alignment horizontal="center"/>
    </xf>
    <xf numFmtId="165" fontId="2" fillId="0" borderId="0" xfId="0" applyNumberFormat="1" applyFont="1" applyBorder="1" applyAlignment="1">
      <alignment horizontal="center"/>
    </xf>
    <xf numFmtId="0" fontId="2" fillId="0" borderId="12" xfId="0" applyFont="1" applyBorder="1" applyAlignment="1"/>
    <xf numFmtId="0" fontId="2" fillId="0" borderId="0" xfId="0" applyFont="1" applyBorder="1" applyAlignment="1">
      <alignment horizontal="left"/>
    </xf>
    <xf numFmtId="0" fontId="0" fillId="7" borderId="0" xfId="0" applyFill="1" applyAlignment="1">
      <alignment horizontal="center"/>
    </xf>
    <xf numFmtId="6" fontId="0" fillId="7" borderId="0" xfId="0" applyNumberFormat="1" applyFill="1" applyAlignment="1">
      <alignment horizontal="center"/>
    </xf>
    <xf numFmtId="9" fontId="0" fillId="7" borderId="0" xfId="0" applyNumberFormat="1" applyFill="1" applyAlignment="1">
      <alignment horizontal="center"/>
    </xf>
    <xf numFmtId="0" fontId="0" fillId="7" borderId="0" xfId="0" applyFill="1" applyBorder="1" applyAlignment="1">
      <alignment horizontal="center"/>
    </xf>
    <xf numFmtId="6" fontId="0" fillId="7" borderId="0" xfId="0" applyNumberFormat="1" applyFill="1" applyBorder="1" applyAlignment="1">
      <alignment horizontal="center"/>
    </xf>
    <xf numFmtId="9" fontId="0" fillId="7" borderId="0" xfId="0" applyNumberFormat="1" applyFill="1" applyBorder="1" applyAlignment="1">
      <alignment horizontal="center"/>
    </xf>
    <xf numFmtId="6" fontId="0" fillId="7" borderId="13" xfId="0" applyNumberFormat="1" applyFill="1" applyBorder="1" applyAlignment="1">
      <alignment horizontal="center"/>
    </xf>
    <xf numFmtId="0" fontId="0" fillId="7" borderId="15" xfId="0" applyFill="1" applyBorder="1" applyAlignment="1">
      <alignment horizontal="center"/>
    </xf>
    <xf numFmtId="6" fontId="0" fillId="7" borderId="15" xfId="0" applyNumberFormat="1" applyFill="1" applyBorder="1" applyAlignment="1">
      <alignment horizontal="center"/>
    </xf>
    <xf numFmtId="9" fontId="0" fillId="7" borderId="15" xfId="0" applyNumberFormat="1" applyFill="1" applyBorder="1" applyAlignment="1">
      <alignment horizontal="center"/>
    </xf>
    <xf numFmtId="6" fontId="0" fillId="7" borderId="16" xfId="0" applyNumberFormat="1" applyFill="1" applyBorder="1" applyAlignment="1">
      <alignment horizontal="center"/>
    </xf>
    <xf numFmtId="0" fontId="0" fillId="7" borderId="7" xfId="0" applyFill="1" applyBorder="1" applyAlignment="1">
      <alignment horizontal="center"/>
    </xf>
    <xf numFmtId="6" fontId="0" fillId="7" borderId="7" xfId="0" applyNumberFormat="1" applyFill="1" applyBorder="1" applyAlignment="1">
      <alignment horizontal="center"/>
    </xf>
    <xf numFmtId="6" fontId="0" fillId="7" borderId="5" xfId="0" applyNumberFormat="1" applyFill="1" applyBorder="1" applyAlignment="1">
      <alignment horizontal="center"/>
    </xf>
    <xf numFmtId="9" fontId="0" fillId="7" borderId="7" xfId="0" applyNumberFormat="1" applyFill="1" applyBorder="1" applyAlignment="1">
      <alignment horizontal="center"/>
    </xf>
    <xf numFmtId="6" fontId="0" fillId="7" borderId="8" xfId="0" applyNumberFormat="1" applyFill="1" applyBorder="1" applyAlignment="1">
      <alignment horizontal="center"/>
    </xf>
    <xf numFmtId="164" fontId="0" fillId="7" borderId="5" xfId="0" applyNumberFormat="1" applyFill="1" applyBorder="1" applyAlignment="1">
      <alignment horizontal="center"/>
    </xf>
    <xf numFmtId="164" fontId="0" fillId="7" borderId="8" xfId="0" applyNumberFormat="1" applyFill="1" applyBorder="1" applyAlignment="1">
      <alignment horizontal="center"/>
    </xf>
    <xf numFmtId="0" fontId="0" fillId="4" borderId="0" xfId="0" applyFill="1" applyAlignment="1">
      <alignment horizontal="left"/>
    </xf>
    <xf numFmtId="164" fontId="0" fillId="4" borderId="0" xfId="0" applyNumberFormat="1" applyFill="1" applyAlignment="1">
      <alignment horizontal="right"/>
    </xf>
    <xf numFmtId="0" fontId="10" fillId="8" borderId="0" xfId="0" applyFont="1" applyFill="1" applyAlignment="1">
      <alignment vertical="center"/>
    </xf>
    <xf numFmtId="0" fontId="10" fillId="8" borderId="0" xfId="0" applyFont="1" applyFill="1" applyAlignment="1">
      <alignment vertical="center" wrapText="1"/>
    </xf>
    <xf numFmtId="0" fontId="11" fillId="4" borderId="0" xfId="1" applyFont="1" applyFill="1" applyAlignment="1">
      <alignment horizontal="left" vertical="center" indent="2"/>
    </xf>
    <xf numFmtId="0" fontId="9" fillId="4" borderId="0" xfId="0" quotePrefix="1" applyFont="1" applyFill="1" applyAlignment="1">
      <alignment vertical="center"/>
    </xf>
    <xf numFmtId="0" fontId="0" fillId="7" borderId="4" xfId="0" applyFill="1" applyBorder="1"/>
    <xf numFmtId="0" fontId="0" fillId="7" borderId="6" xfId="0" applyFill="1" applyBorder="1"/>
    <xf numFmtId="164" fontId="0" fillId="7" borderId="0" xfId="0" applyNumberFormat="1" applyFill="1" applyBorder="1" applyAlignment="1">
      <alignment horizontal="center"/>
    </xf>
    <xf numFmtId="164" fontId="0" fillId="7" borderId="7" xfId="0" applyNumberFormat="1" applyFill="1" applyBorder="1" applyAlignment="1">
      <alignment horizontal="center"/>
    </xf>
  </cellXfs>
  <cellStyles count="2">
    <cellStyle name="Hyperlink" xfId="1" builtinId="8"/>
    <cellStyle name="Normal" xfId="0" builtinId="0"/>
  </cellStyles>
  <dxfs count="6">
    <dxf>
      <font>
        <b/>
        <i val="0"/>
      </font>
      <fill>
        <patternFill>
          <bgColor theme="5" tint="0.39994506668294322"/>
        </patternFill>
      </fill>
    </dxf>
    <dxf>
      <font>
        <b/>
        <i val="0"/>
      </font>
      <fill>
        <patternFill>
          <bgColor theme="7" tint="0.59996337778862885"/>
        </patternFill>
      </fill>
    </dxf>
    <dxf>
      <fill>
        <patternFill>
          <bgColor theme="9" tint="0.59996337778862885"/>
        </patternFill>
      </fill>
    </dxf>
    <dxf>
      <font>
        <b/>
        <i val="0"/>
      </font>
      <fill>
        <patternFill>
          <bgColor theme="5" tint="0.39994506668294322"/>
        </patternFill>
      </fill>
    </dxf>
    <dxf>
      <font>
        <b/>
        <i val="0"/>
      </font>
      <fill>
        <patternFill>
          <bgColor theme="7"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830037</xdr:colOff>
      <xdr:row>0</xdr:row>
      <xdr:rowOff>27214</xdr:rowOff>
    </xdr:from>
    <xdr:to>
      <xdr:col>9</xdr:col>
      <xdr:colOff>680359</xdr:colOff>
      <xdr:row>3</xdr:row>
      <xdr:rowOff>177041</xdr:rowOff>
    </xdr:to>
    <xdr:pic>
      <xdr:nvPicPr>
        <xdr:cNvPr id="3" name="Picture 2">
          <a:extLst>
            <a:ext uri="{FF2B5EF4-FFF2-40B4-BE49-F238E27FC236}">
              <a16:creationId xmlns:a16="http://schemas.microsoft.com/office/drawing/2014/main" id="{803080C8-FD88-4C49-AD1F-5FF1C8DF78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4358" y="27214"/>
          <a:ext cx="1673679" cy="7757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aff.acu.edu.au/human_resources/enterprise_agreement_and_consultation/enterprise_agreement__and__condition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BEB47-3CA6-453D-9740-404E580DA88C}">
  <dimension ref="A1:A37"/>
  <sheetViews>
    <sheetView tabSelected="1" zoomScale="90" zoomScaleNormal="90" workbookViewId="0"/>
  </sheetViews>
  <sheetFormatPr defaultRowHeight="14.25" x14ac:dyDescent="0.25"/>
  <cols>
    <col min="1" max="1" width="150.7109375" style="74" customWidth="1"/>
    <col min="2" max="16384" width="9.140625" style="74"/>
  </cols>
  <sheetData>
    <row r="1" spans="1:1" ht="18" x14ac:dyDescent="0.25">
      <c r="A1" s="73" t="s">
        <v>121</v>
      </c>
    </row>
    <row r="3" spans="1:1" ht="20.100000000000001" customHeight="1" x14ac:dyDescent="0.25">
      <c r="A3" s="75" t="s">
        <v>122</v>
      </c>
    </row>
    <row r="4" spans="1:1" x14ac:dyDescent="0.25">
      <c r="A4" s="75"/>
    </row>
    <row r="5" spans="1:1" ht="20.100000000000001" customHeight="1" x14ac:dyDescent="0.25">
      <c r="A5" s="74" t="s">
        <v>77</v>
      </c>
    </row>
    <row r="6" spans="1:1" ht="35.1" customHeight="1" x14ac:dyDescent="0.25">
      <c r="A6" s="78" t="s">
        <v>79</v>
      </c>
    </row>
    <row r="7" spans="1:1" ht="35.1" customHeight="1" x14ac:dyDescent="0.25">
      <c r="A7" s="78" t="s">
        <v>78</v>
      </c>
    </row>
    <row r="8" spans="1:1" ht="35.1" customHeight="1" x14ac:dyDescent="0.25">
      <c r="A8" s="78" t="s">
        <v>80</v>
      </c>
    </row>
    <row r="9" spans="1:1" ht="35.1" customHeight="1" x14ac:dyDescent="0.25">
      <c r="A9" s="75" t="s">
        <v>82</v>
      </c>
    </row>
    <row r="10" spans="1:1" ht="20.100000000000001" customHeight="1" x14ac:dyDescent="0.25">
      <c r="A10" s="75"/>
    </row>
    <row r="11" spans="1:1" ht="20.100000000000001" customHeight="1" x14ac:dyDescent="0.25">
      <c r="A11" s="105" t="s">
        <v>115</v>
      </c>
    </row>
    <row r="12" spans="1:1" ht="35.1" customHeight="1" x14ac:dyDescent="0.25">
      <c r="A12" s="75" t="s">
        <v>116</v>
      </c>
    </row>
    <row r="13" spans="1:1" ht="50.1" customHeight="1" x14ac:dyDescent="0.25">
      <c r="A13" s="75" t="s">
        <v>117</v>
      </c>
    </row>
    <row r="14" spans="1:1" ht="50.1" customHeight="1" x14ac:dyDescent="0.25">
      <c r="A14" s="75" t="s">
        <v>118</v>
      </c>
    </row>
    <row r="15" spans="1:1" x14ac:dyDescent="0.25">
      <c r="A15" s="108" t="s">
        <v>49</v>
      </c>
    </row>
    <row r="16" spans="1:1" ht="20.100000000000001" customHeight="1" x14ac:dyDescent="0.25">
      <c r="A16" s="105" t="s">
        <v>119</v>
      </c>
    </row>
    <row r="17" spans="1:1" ht="20.100000000000001" customHeight="1" x14ac:dyDescent="0.25">
      <c r="A17" s="74" t="s">
        <v>81</v>
      </c>
    </row>
    <row r="18" spans="1:1" ht="20.100000000000001" customHeight="1" x14ac:dyDescent="0.25">
      <c r="A18" s="77" t="s">
        <v>85</v>
      </c>
    </row>
    <row r="19" spans="1:1" ht="20.100000000000001" customHeight="1" x14ac:dyDescent="0.25">
      <c r="A19" s="78" t="s">
        <v>87</v>
      </c>
    </row>
    <row r="20" spans="1:1" ht="35.1" customHeight="1" x14ac:dyDescent="0.25">
      <c r="A20" s="78" t="s">
        <v>88</v>
      </c>
    </row>
    <row r="21" spans="1:1" ht="20.100000000000001" customHeight="1" x14ac:dyDescent="0.25">
      <c r="A21" s="79" t="s">
        <v>89</v>
      </c>
    </row>
    <row r="22" spans="1:1" ht="20.100000000000001" customHeight="1" x14ac:dyDescent="0.25">
      <c r="A22" s="79" t="s">
        <v>90</v>
      </c>
    </row>
    <row r="23" spans="1:1" ht="20.100000000000001" customHeight="1" x14ac:dyDescent="0.25">
      <c r="A23" s="79" t="s">
        <v>91</v>
      </c>
    </row>
    <row r="24" spans="1:1" ht="50.1" customHeight="1" x14ac:dyDescent="0.25">
      <c r="A24" s="78" t="s">
        <v>92</v>
      </c>
    </row>
    <row r="25" spans="1:1" ht="12" customHeight="1" x14ac:dyDescent="0.25">
      <c r="A25" s="107" t="s">
        <v>86</v>
      </c>
    </row>
    <row r="26" spans="1:1" ht="65.099999999999994" customHeight="1" x14ac:dyDescent="0.25">
      <c r="A26" s="78" t="s">
        <v>96</v>
      </c>
    </row>
    <row r="27" spans="1:1" ht="20.100000000000001" customHeight="1" x14ac:dyDescent="0.25">
      <c r="A27" s="77" t="s">
        <v>97</v>
      </c>
    </row>
    <row r="28" spans="1:1" ht="20.100000000000001" customHeight="1" x14ac:dyDescent="0.25">
      <c r="A28" s="79" t="s">
        <v>93</v>
      </c>
    </row>
    <row r="29" spans="1:1" ht="50.1" customHeight="1" x14ac:dyDescent="0.25">
      <c r="A29" s="78" t="s">
        <v>94</v>
      </c>
    </row>
    <row r="30" spans="1:1" ht="20.100000000000001" customHeight="1" x14ac:dyDescent="0.25">
      <c r="A30" s="78" t="s">
        <v>95</v>
      </c>
    </row>
    <row r="31" spans="1:1" ht="20.100000000000001" customHeight="1" x14ac:dyDescent="0.25">
      <c r="A31" s="76"/>
    </row>
    <row r="32" spans="1:1" ht="20.100000000000001" customHeight="1" x14ac:dyDescent="0.25">
      <c r="A32" s="106" t="s">
        <v>120</v>
      </c>
    </row>
    <row r="33" spans="1:1" ht="50.1" customHeight="1" x14ac:dyDescent="0.25">
      <c r="A33" s="76" t="s">
        <v>113</v>
      </c>
    </row>
    <row r="34" spans="1:1" ht="50.1" customHeight="1" x14ac:dyDescent="0.25">
      <c r="A34" s="76" t="s">
        <v>114</v>
      </c>
    </row>
    <row r="35" spans="1:1" ht="50.1" customHeight="1" x14ac:dyDescent="0.25">
      <c r="A35" s="75" t="s">
        <v>102</v>
      </c>
    </row>
    <row r="37" spans="1:1" ht="20.100000000000001" customHeight="1" x14ac:dyDescent="0.25"/>
  </sheetData>
  <hyperlinks>
    <hyperlink ref="A25" r:id="rId1" xr:uid="{98A236EC-1932-4739-A1A6-33FC49F4F5A5}"/>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8A9F-D90F-4EC3-B87A-D15FC22FC9B9}">
  <sheetPr>
    <pageSetUpPr fitToPage="1"/>
  </sheetPr>
  <dimension ref="A1:J110"/>
  <sheetViews>
    <sheetView zoomScale="80" zoomScaleNormal="80" workbookViewId="0">
      <pane ySplit="10" topLeftCell="A11" activePane="bottomLeft" state="frozen"/>
      <selection pane="bottomLeft" activeCell="A11" sqref="A11"/>
    </sheetView>
  </sheetViews>
  <sheetFormatPr defaultRowHeight="15" x14ac:dyDescent="0.25"/>
  <cols>
    <col min="1" max="1" width="50.7109375" style="26" customWidth="1"/>
    <col min="2" max="5" width="13.7109375" style="24" customWidth="1"/>
    <col min="6" max="6" width="30.7109375" style="26" customWidth="1"/>
    <col min="7" max="10" width="13.7109375" style="24" customWidth="1"/>
    <col min="11" max="16384" width="9.140625" style="26"/>
  </cols>
  <sheetData>
    <row r="1" spans="1:10" x14ac:dyDescent="0.25">
      <c r="G1" s="35"/>
      <c r="H1" s="32"/>
    </row>
    <row r="2" spans="1:10" ht="18.75" x14ac:dyDescent="0.3">
      <c r="D2" s="34" t="s">
        <v>72</v>
      </c>
      <c r="F2" s="104">
        <v>43544</v>
      </c>
      <c r="G2" s="103" t="s">
        <v>111</v>
      </c>
      <c r="H2" s="32"/>
    </row>
    <row r="3" spans="1:10" x14ac:dyDescent="0.25">
      <c r="D3" s="33" t="s">
        <v>73</v>
      </c>
      <c r="F3" s="35" t="s">
        <v>74</v>
      </c>
      <c r="G3" s="103" t="s">
        <v>112</v>
      </c>
    </row>
    <row r="5" spans="1:10" x14ac:dyDescent="0.25">
      <c r="A5" s="1"/>
      <c r="B5" s="10" t="s">
        <v>83</v>
      </c>
      <c r="C5" s="10" t="s">
        <v>7</v>
      </c>
      <c r="D5" s="10" t="s">
        <v>8</v>
      </c>
      <c r="E5" s="10" t="s">
        <v>84</v>
      </c>
      <c r="F5" s="10" t="s">
        <v>98</v>
      </c>
      <c r="G5" s="10" t="s">
        <v>99</v>
      </c>
      <c r="H5" s="10" t="s">
        <v>61</v>
      </c>
      <c r="I5" s="10" t="s">
        <v>100</v>
      </c>
      <c r="J5" s="10" t="s">
        <v>101</v>
      </c>
    </row>
    <row r="6" spans="1:10" ht="24.95" customHeight="1" x14ac:dyDescent="0.25">
      <c r="A6" s="15" t="s">
        <v>71</v>
      </c>
      <c r="B6" s="16" t="str">
        <f>SUM(B21:B74)&amp;" days"</f>
        <v>186.5 days</v>
      </c>
      <c r="C6" s="17">
        <f>MIN(C21:C74)</f>
        <v>43549</v>
      </c>
      <c r="D6" s="17">
        <f>MAX(D21:D74)</f>
        <v>43652</v>
      </c>
      <c r="E6" s="16">
        <f>_xlfn.DAYS(D6,C6)</f>
        <v>103</v>
      </c>
      <c r="F6" s="18">
        <f>(SUM(B21:B74)/SUM(E21:E74))</f>
        <v>1.2951388888888888</v>
      </c>
      <c r="G6" s="19">
        <f>SUM(G21:G74)</f>
        <v>96120</v>
      </c>
      <c r="H6" s="16" t="str">
        <f>SUM(H21:H74)&amp;" days"</f>
        <v>0 days</v>
      </c>
      <c r="I6" s="18">
        <f>AVERAGE(I21:I74)</f>
        <v>0</v>
      </c>
      <c r="J6" s="19">
        <f>SUM(J21:J74)</f>
        <v>0</v>
      </c>
    </row>
    <row r="7" spans="1:10" ht="15" customHeight="1" x14ac:dyDescent="0.25">
      <c r="A7" s="15"/>
      <c r="B7" s="16"/>
      <c r="C7" s="17"/>
      <c r="D7" s="17"/>
      <c r="E7" s="16"/>
      <c r="F7" s="18"/>
      <c r="G7" s="19"/>
      <c r="H7" s="72" t="str">
        <f>_xlfn.IFS(SUM(H21:H74)&lt;SUM(B21:B74),"OK",SUM(H21:H74)&lt;=1.1*SUM(B21:B74),"Monitor",SUM(H21:H74)&gt;1.1*SUM(B21:B74),"Review!")</f>
        <v>OK</v>
      </c>
      <c r="I7" s="18"/>
      <c r="J7" s="72" t="str">
        <f>_xlfn.IFS(J6&lt;G6,"OK",J6&lt;=1.1*G6,"Monitor",J6&gt;1.1*G6,"Review!")</f>
        <v>OK</v>
      </c>
    </row>
    <row r="9" spans="1:10" ht="24.95" customHeight="1" x14ac:dyDescent="0.25">
      <c r="A9" s="46" t="s">
        <v>75</v>
      </c>
      <c r="B9" s="47"/>
      <c r="C9" s="47"/>
      <c r="D9" s="47"/>
      <c r="E9" s="47"/>
      <c r="F9" s="48"/>
      <c r="G9" s="47"/>
      <c r="H9" s="49" t="s">
        <v>76</v>
      </c>
      <c r="I9" s="50"/>
      <c r="J9" s="50"/>
    </row>
    <row r="10" spans="1:10" ht="24.95" customHeight="1" x14ac:dyDescent="0.25">
      <c r="A10" s="51" t="s">
        <v>10</v>
      </c>
      <c r="B10" s="51" t="s">
        <v>12</v>
      </c>
      <c r="C10" s="51" t="s">
        <v>7</v>
      </c>
      <c r="D10" s="51" t="s">
        <v>8</v>
      </c>
      <c r="E10" s="51" t="s">
        <v>11</v>
      </c>
      <c r="F10" s="51" t="s">
        <v>9</v>
      </c>
      <c r="G10" s="51" t="s">
        <v>63</v>
      </c>
      <c r="H10" s="51" t="s">
        <v>61</v>
      </c>
      <c r="I10" s="51" t="s">
        <v>70</v>
      </c>
      <c r="J10" s="51" t="s">
        <v>62</v>
      </c>
    </row>
    <row r="11" spans="1:10" ht="24.95" customHeight="1" x14ac:dyDescent="0.25">
      <c r="A11" s="52" t="s">
        <v>6</v>
      </c>
      <c r="B11" s="53"/>
      <c r="C11" s="53"/>
      <c r="D11" s="54"/>
      <c r="E11" s="55"/>
      <c r="F11" s="56"/>
      <c r="G11" s="57"/>
      <c r="H11" s="57"/>
      <c r="I11" s="57"/>
      <c r="J11" s="57"/>
    </row>
    <row r="12" spans="1:10" x14ac:dyDescent="0.25">
      <c r="A12" s="109" t="s">
        <v>0</v>
      </c>
      <c r="B12" s="88"/>
      <c r="C12" s="111"/>
      <c r="D12" s="21">
        <v>43539</v>
      </c>
      <c r="E12" s="22"/>
      <c r="F12" s="23"/>
      <c r="I12" s="85"/>
      <c r="J12" s="85"/>
    </row>
    <row r="13" spans="1:10" x14ac:dyDescent="0.25">
      <c r="A13" s="109" t="s">
        <v>1</v>
      </c>
      <c r="B13" s="88"/>
      <c r="C13" s="111"/>
      <c r="D13" s="101">
        <f>D28</f>
        <v>43565</v>
      </c>
      <c r="E13" s="22"/>
      <c r="F13" s="23"/>
      <c r="I13" s="87">
        <f>AVERAGE(I21:I28)</f>
        <v>0</v>
      </c>
      <c r="J13" s="86">
        <f>SUM(J21:J28)</f>
        <v>0</v>
      </c>
    </row>
    <row r="14" spans="1:10" x14ac:dyDescent="0.25">
      <c r="A14" s="109" t="s">
        <v>2</v>
      </c>
      <c r="B14" s="88"/>
      <c r="C14" s="111"/>
      <c r="D14" s="101">
        <f>MAX(D38,D46)</f>
        <v>43623</v>
      </c>
      <c r="E14" s="22"/>
      <c r="F14" s="23"/>
      <c r="I14" s="87">
        <f>AVERAGE(I32:I46)</f>
        <v>0</v>
      </c>
      <c r="J14" s="86">
        <f>SUM(J32:J46)</f>
        <v>0</v>
      </c>
    </row>
    <row r="15" spans="1:10" x14ac:dyDescent="0.25">
      <c r="A15" s="109" t="s">
        <v>52</v>
      </c>
      <c r="B15" s="88"/>
      <c r="C15" s="111"/>
      <c r="D15" s="101">
        <f>D54</f>
        <v>43621</v>
      </c>
      <c r="E15" s="22"/>
      <c r="F15" s="23"/>
      <c r="I15" s="87">
        <f>AVERAGE(I48:I53)</f>
        <v>0</v>
      </c>
      <c r="J15" s="86">
        <f>SUM(J48:J53)</f>
        <v>0</v>
      </c>
    </row>
    <row r="16" spans="1:10" x14ac:dyDescent="0.25">
      <c r="A16" s="109" t="s">
        <v>3</v>
      </c>
      <c r="B16" s="88"/>
      <c r="C16" s="111"/>
      <c r="D16" s="101">
        <f>D61</f>
        <v>43628</v>
      </c>
      <c r="E16" s="22"/>
      <c r="F16" s="23"/>
      <c r="I16" s="87">
        <f>AVERAGE(I56:I62)</f>
        <v>0</v>
      </c>
      <c r="J16" s="86">
        <f>SUM(J56:J62)</f>
        <v>0</v>
      </c>
    </row>
    <row r="17" spans="1:10" x14ac:dyDescent="0.25">
      <c r="A17" s="109" t="s">
        <v>4</v>
      </c>
      <c r="B17" s="88"/>
      <c r="C17" s="111"/>
      <c r="D17" s="101">
        <f>C76</f>
        <v>43647</v>
      </c>
      <c r="E17" s="22"/>
      <c r="F17" s="23"/>
      <c r="I17" s="87">
        <f>I76</f>
        <v>0</v>
      </c>
      <c r="J17" s="86">
        <f>J76</f>
        <v>0</v>
      </c>
    </row>
    <row r="18" spans="1:10" x14ac:dyDescent="0.25">
      <c r="A18" s="110" t="s">
        <v>5</v>
      </c>
      <c r="B18" s="96"/>
      <c r="C18" s="112"/>
      <c r="D18" s="102">
        <f>D73</f>
        <v>43652</v>
      </c>
      <c r="E18" s="22"/>
      <c r="F18" s="23"/>
      <c r="I18" s="87">
        <f>AVERAGE(I65:I72)</f>
        <v>0</v>
      </c>
      <c r="J18" s="86">
        <f>SUM(J65:J72)</f>
        <v>0</v>
      </c>
    </row>
    <row r="19" spans="1:10" x14ac:dyDescent="0.25">
      <c r="A19" s="25" t="s">
        <v>49</v>
      </c>
    </row>
    <row r="20" spans="1:10" ht="24.95" customHeight="1" x14ac:dyDescent="0.25">
      <c r="A20" s="68" t="s">
        <v>13</v>
      </c>
      <c r="B20" s="69"/>
      <c r="C20" s="69"/>
      <c r="D20" s="69"/>
      <c r="E20" s="69"/>
      <c r="F20" s="70"/>
      <c r="G20" s="69"/>
      <c r="H20" s="69"/>
      <c r="I20" s="69"/>
      <c r="J20" s="71"/>
    </row>
    <row r="21" spans="1:10" x14ac:dyDescent="0.25">
      <c r="A21" s="36" t="s">
        <v>27</v>
      </c>
      <c r="B21" s="7">
        <f>2*1</f>
        <v>2</v>
      </c>
      <c r="C21" s="12">
        <v>43549</v>
      </c>
      <c r="D21" s="12">
        <v>43553</v>
      </c>
      <c r="E21" s="88">
        <f>NETWORKDAYS(C21,D21,Holidays)</f>
        <v>5</v>
      </c>
      <c r="F21" s="3" t="s">
        <v>45</v>
      </c>
      <c r="G21" s="89">
        <f>ROUNDUP(B21*VLOOKUP(F21,Staff_costs,7,FALSE),-1)</f>
        <v>1500</v>
      </c>
      <c r="H21" s="7"/>
      <c r="I21" s="90">
        <f t="shared" ref="I21:I27" si="0">IF(B21=0,0,H21/B21)</f>
        <v>0</v>
      </c>
      <c r="J21" s="91">
        <f>ROUNDUP(H21*VLOOKUP(F21,Staff_costs,7,FALSE),-1)</f>
        <v>0</v>
      </c>
    </row>
    <row r="22" spans="1:10" x14ac:dyDescent="0.25">
      <c r="A22" s="39" t="s">
        <v>14</v>
      </c>
      <c r="B22" s="7"/>
      <c r="C22" s="12"/>
      <c r="D22" s="12"/>
      <c r="E22" s="88"/>
      <c r="F22" s="3"/>
      <c r="G22" s="89"/>
      <c r="H22" s="7"/>
      <c r="I22" s="90"/>
      <c r="J22" s="91"/>
    </row>
    <row r="23" spans="1:10" x14ac:dyDescent="0.25">
      <c r="A23" s="40" t="s">
        <v>24</v>
      </c>
      <c r="B23" s="7">
        <v>0.5</v>
      </c>
      <c r="C23" s="12">
        <v>43552</v>
      </c>
      <c r="D23" s="12">
        <v>43553</v>
      </c>
      <c r="E23" s="88">
        <f t="shared" ref="E23:E28" si="1">NETWORKDAYS(C23,D23,Holidays)</f>
        <v>2</v>
      </c>
      <c r="F23" s="3" t="s">
        <v>44</v>
      </c>
      <c r="G23" s="89">
        <f t="shared" ref="G23:G28" si="2">ROUNDUP(B23*VLOOKUP(F23,Staff_costs,7,FALSE),-1)</f>
        <v>330</v>
      </c>
      <c r="H23" s="7"/>
      <c r="I23" s="90">
        <f t="shared" si="0"/>
        <v>0</v>
      </c>
      <c r="J23" s="91">
        <f t="shared" ref="J23:J28" si="3">ROUNDUP(H23*VLOOKUP(F23,Staff_costs,7,FALSE),-1)</f>
        <v>0</v>
      </c>
    </row>
    <row r="24" spans="1:10" x14ac:dyDescent="0.25">
      <c r="A24" s="40" t="s">
        <v>25</v>
      </c>
      <c r="B24" s="7">
        <v>0.5</v>
      </c>
      <c r="C24" s="12">
        <v>43552</v>
      </c>
      <c r="D24" s="12">
        <v>43553</v>
      </c>
      <c r="E24" s="88">
        <f t="shared" si="1"/>
        <v>2</v>
      </c>
      <c r="F24" s="3" t="s">
        <v>44</v>
      </c>
      <c r="G24" s="89">
        <f t="shared" si="2"/>
        <v>330</v>
      </c>
      <c r="H24" s="7"/>
      <c r="I24" s="90">
        <f t="shared" si="0"/>
        <v>0</v>
      </c>
      <c r="J24" s="91">
        <f t="shared" si="3"/>
        <v>0</v>
      </c>
    </row>
    <row r="25" spans="1:10" x14ac:dyDescent="0.25">
      <c r="A25" s="40" t="s">
        <v>28</v>
      </c>
      <c r="B25" s="7">
        <f>4*0.5</f>
        <v>2</v>
      </c>
      <c r="C25" s="12">
        <v>43556</v>
      </c>
      <c r="D25" s="12">
        <v>43556</v>
      </c>
      <c r="E25" s="88">
        <f t="shared" si="1"/>
        <v>1</v>
      </c>
      <c r="F25" s="3" t="s">
        <v>51</v>
      </c>
      <c r="G25" s="89">
        <f t="shared" si="2"/>
        <v>1250</v>
      </c>
      <c r="H25" s="7"/>
      <c r="I25" s="90">
        <f t="shared" si="0"/>
        <v>0</v>
      </c>
      <c r="J25" s="91">
        <f t="shared" si="3"/>
        <v>0</v>
      </c>
    </row>
    <row r="26" spans="1:10" x14ac:dyDescent="0.25">
      <c r="A26" s="40" t="s">
        <v>26</v>
      </c>
      <c r="B26" s="7">
        <v>2</v>
      </c>
      <c r="C26" s="12">
        <v>43557</v>
      </c>
      <c r="D26" s="12">
        <v>43560</v>
      </c>
      <c r="E26" s="88">
        <f t="shared" si="1"/>
        <v>4</v>
      </c>
      <c r="F26" s="3" t="s">
        <v>44</v>
      </c>
      <c r="G26" s="89">
        <f t="shared" si="2"/>
        <v>1320</v>
      </c>
      <c r="H26" s="7"/>
      <c r="I26" s="90">
        <f t="shared" si="0"/>
        <v>0</v>
      </c>
      <c r="J26" s="91">
        <f t="shared" si="3"/>
        <v>0</v>
      </c>
    </row>
    <row r="27" spans="1:10" x14ac:dyDescent="0.25">
      <c r="A27" s="40" t="s">
        <v>29</v>
      </c>
      <c r="B27" s="7">
        <v>0.5</v>
      </c>
      <c r="C27" s="12">
        <v>43563</v>
      </c>
      <c r="D27" s="12">
        <v>43564</v>
      </c>
      <c r="E27" s="88">
        <f t="shared" si="1"/>
        <v>2</v>
      </c>
      <c r="F27" s="3" t="s">
        <v>46</v>
      </c>
      <c r="G27" s="89">
        <f t="shared" si="2"/>
        <v>420</v>
      </c>
      <c r="H27" s="7"/>
      <c r="I27" s="90">
        <f t="shared" si="0"/>
        <v>0</v>
      </c>
      <c r="J27" s="91">
        <f t="shared" si="3"/>
        <v>0</v>
      </c>
    </row>
    <row r="28" spans="1:10" x14ac:dyDescent="0.25">
      <c r="A28" s="36" t="s">
        <v>30</v>
      </c>
      <c r="B28" s="7">
        <v>0</v>
      </c>
      <c r="C28" s="12">
        <v>43565</v>
      </c>
      <c r="D28" s="12">
        <v>43565</v>
      </c>
      <c r="E28" s="88">
        <f t="shared" si="1"/>
        <v>1</v>
      </c>
      <c r="F28" s="3" t="s">
        <v>46</v>
      </c>
      <c r="G28" s="89">
        <f t="shared" si="2"/>
        <v>0</v>
      </c>
      <c r="H28" s="7"/>
      <c r="I28" s="90">
        <f>IF(B28=0,0,H28/B28)</f>
        <v>0</v>
      </c>
      <c r="J28" s="91">
        <f t="shared" si="3"/>
        <v>0</v>
      </c>
    </row>
    <row r="29" spans="1:10" x14ac:dyDescent="0.25">
      <c r="A29" s="41" t="s">
        <v>49</v>
      </c>
      <c r="B29" s="7"/>
      <c r="C29" s="12"/>
      <c r="D29" s="12"/>
      <c r="E29" s="7"/>
      <c r="F29" s="3"/>
      <c r="G29" s="20"/>
      <c r="H29" s="7"/>
      <c r="I29" s="37"/>
      <c r="J29" s="38"/>
    </row>
    <row r="30" spans="1:10" ht="24.95" customHeight="1" x14ac:dyDescent="0.25">
      <c r="A30" s="63" t="s">
        <v>15</v>
      </c>
      <c r="B30" s="64"/>
      <c r="C30" s="65"/>
      <c r="D30" s="65"/>
      <c r="E30" s="64"/>
      <c r="F30" s="66"/>
      <c r="G30" s="64"/>
      <c r="H30" s="64"/>
      <c r="I30" s="64"/>
      <c r="J30" s="67"/>
    </row>
    <row r="31" spans="1:10" x14ac:dyDescent="0.25">
      <c r="A31" s="36" t="s">
        <v>103</v>
      </c>
      <c r="B31" s="7"/>
      <c r="C31" s="12"/>
      <c r="D31" s="12"/>
      <c r="E31" s="88"/>
      <c r="F31" s="3"/>
      <c r="G31" s="89"/>
      <c r="H31" s="7"/>
      <c r="I31" s="90"/>
      <c r="J31" s="91"/>
    </row>
    <row r="32" spans="1:10" x14ac:dyDescent="0.25">
      <c r="A32" s="40" t="s">
        <v>105</v>
      </c>
      <c r="B32" s="7">
        <f>2*5</f>
        <v>10</v>
      </c>
      <c r="C32" s="12">
        <v>43566</v>
      </c>
      <c r="D32" s="12">
        <v>43581</v>
      </c>
      <c r="E32" s="88">
        <f t="shared" ref="E32:E37" si="4">NETWORKDAYS(C32,D32,Holidays)</f>
        <v>9</v>
      </c>
      <c r="F32" s="3" t="s">
        <v>47</v>
      </c>
      <c r="G32" s="89">
        <f t="shared" ref="G32:G37" si="5">ROUNDUP(B32*VLOOKUP(F32,Staff_costs,7,FALSE),-1)</f>
        <v>5000</v>
      </c>
      <c r="H32" s="7"/>
      <c r="I32" s="90">
        <f t="shared" ref="I32:I72" si="6">IF(B32=0,0,H32/B32)</f>
        <v>0</v>
      </c>
      <c r="J32" s="91">
        <f t="shared" ref="J32:J37" si="7">ROUNDUP(H32*VLOOKUP(F32,Staff_costs,7,FALSE),-1)</f>
        <v>0</v>
      </c>
    </row>
    <row r="33" spans="1:10" x14ac:dyDescent="0.25">
      <c r="A33" s="40" t="s">
        <v>105</v>
      </c>
      <c r="B33" s="7">
        <f>2*2</f>
        <v>4</v>
      </c>
      <c r="C33" s="12">
        <f>D32+1</f>
        <v>43582</v>
      </c>
      <c r="D33" s="12">
        <v>43585</v>
      </c>
      <c r="E33" s="88">
        <f t="shared" si="4"/>
        <v>2</v>
      </c>
      <c r="F33" s="3" t="s">
        <v>47</v>
      </c>
      <c r="G33" s="89">
        <f t="shared" si="5"/>
        <v>2000</v>
      </c>
      <c r="H33" s="7"/>
      <c r="I33" s="90">
        <f t="shared" si="6"/>
        <v>0</v>
      </c>
      <c r="J33" s="91">
        <f t="shared" si="7"/>
        <v>0</v>
      </c>
    </row>
    <row r="34" spans="1:10" x14ac:dyDescent="0.25">
      <c r="A34" s="40" t="s">
        <v>105</v>
      </c>
      <c r="B34" s="7">
        <f>3*3</f>
        <v>9</v>
      </c>
      <c r="C34" s="12">
        <f t="shared" ref="C34:C37" si="8">D33+1</f>
        <v>43586</v>
      </c>
      <c r="D34" s="12">
        <v>43595</v>
      </c>
      <c r="E34" s="88">
        <f t="shared" si="4"/>
        <v>8</v>
      </c>
      <c r="F34" s="3" t="s">
        <v>47</v>
      </c>
      <c r="G34" s="89">
        <f t="shared" si="5"/>
        <v>4500</v>
      </c>
      <c r="H34" s="7"/>
      <c r="I34" s="90">
        <f t="shared" si="6"/>
        <v>0</v>
      </c>
      <c r="J34" s="91">
        <f t="shared" si="7"/>
        <v>0</v>
      </c>
    </row>
    <row r="35" spans="1:10" x14ac:dyDescent="0.25">
      <c r="A35" s="40" t="s">
        <v>106</v>
      </c>
      <c r="B35" s="7">
        <f>1*1</f>
        <v>1</v>
      </c>
      <c r="C35" s="12">
        <f t="shared" si="8"/>
        <v>43596</v>
      </c>
      <c r="D35" s="12">
        <v>43598</v>
      </c>
      <c r="E35" s="88">
        <f t="shared" si="4"/>
        <v>1</v>
      </c>
      <c r="F35" s="3" t="s">
        <v>47</v>
      </c>
      <c r="G35" s="89">
        <f t="shared" si="5"/>
        <v>500</v>
      </c>
      <c r="H35" s="7"/>
      <c r="I35" s="90">
        <f t="shared" si="6"/>
        <v>0</v>
      </c>
      <c r="J35" s="91">
        <f t="shared" si="7"/>
        <v>0</v>
      </c>
    </row>
    <row r="36" spans="1:10" x14ac:dyDescent="0.25">
      <c r="A36" s="40" t="s">
        <v>106</v>
      </c>
      <c r="B36" s="7">
        <f>3*7</f>
        <v>21</v>
      </c>
      <c r="C36" s="12">
        <f t="shared" si="8"/>
        <v>43599</v>
      </c>
      <c r="D36" s="12">
        <v>43607</v>
      </c>
      <c r="E36" s="88">
        <f t="shared" si="4"/>
        <v>7</v>
      </c>
      <c r="F36" s="3" t="s">
        <v>47</v>
      </c>
      <c r="G36" s="89">
        <f t="shared" si="5"/>
        <v>10500</v>
      </c>
      <c r="H36" s="7"/>
      <c r="I36" s="90">
        <f t="shared" si="6"/>
        <v>0</v>
      </c>
      <c r="J36" s="91">
        <f t="shared" si="7"/>
        <v>0</v>
      </c>
    </row>
    <row r="37" spans="1:10" x14ac:dyDescent="0.25">
      <c r="A37" s="40" t="s">
        <v>106</v>
      </c>
      <c r="B37" s="7">
        <f>3*1.5</f>
        <v>4.5</v>
      </c>
      <c r="C37" s="12">
        <f t="shared" si="8"/>
        <v>43608</v>
      </c>
      <c r="D37" s="12">
        <v>43609</v>
      </c>
      <c r="E37" s="88">
        <f t="shared" si="4"/>
        <v>2</v>
      </c>
      <c r="F37" s="3" t="s">
        <v>47</v>
      </c>
      <c r="G37" s="89">
        <f t="shared" si="5"/>
        <v>2250</v>
      </c>
      <c r="H37" s="7"/>
      <c r="I37" s="90">
        <f t="shared" si="6"/>
        <v>0</v>
      </c>
      <c r="J37" s="91">
        <f t="shared" si="7"/>
        <v>0</v>
      </c>
    </row>
    <row r="38" spans="1:10" x14ac:dyDescent="0.25">
      <c r="A38" s="80" t="s">
        <v>107</v>
      </c>
      <c r="B38" s="81"/>
      <c r="C38" s="82"/>
      <c r="D38" s="82">
        <f>MAX(D32:D37)</f>
        <v>43609</v>
      </c>
      <c r="E38" s="88"/>
      <c r="F38" s="3"/>
      <c r="G38" s="89"/>
      <c r="H38" s="7"/>
      <c r="I38" s="90"/>
      <c r="J38" s="91"/>
    </row>
    <row r="39" spans="1:10" x14ac:dyDescent="0.25">
      <c r="A39" s="36" t="s">
        <v>104</v>
      </c>
      <c r="B39" s="7"/>
      <c r="C39" s="12"/>
      <c r="D39" s="12"/>
      <c r="E39" s="88"/>
      <c r="F39" s="3"/>
      <c r="G39" s="89"/>
      <c r="H39" s="7"/>
      <c r="I39" s="90"/>
      <c r="J39" s="91"/>
    </row>
    <row r="40" spans="1:10" x14ac:dyDescent="0.25">
      <c r="A40" s="40" t="s">
        <v>105</v>
      </c>
      <c r="B40" s="7">
        <v>8</v>
      </c>
      <c r="C40" s="12">
        <f>C32+14</f>
        <v>43580</v>
      </c>
      <c r="D40" s="12">
        <f>D32+14</f>
        <v>43595</v>
      </c>
      <c r="E40" s="88">
        <f t="shared" ref="E40:E45" si="9">NETWORKDAYS(C40,D40,Holidays)</f>
        <v>11</v>
      </c>
      <c r="F40" s="3" t="s">
        <v>47</v>
      </c>
      <c r="G40" s="89">
        <f t="shared" ref="G40:G45" si="10">ROUNDUP(B40*VLOOKUP(F40,Staff_costs,7,FALSE),-1)</f>
        <v>4000</v>
      </c>
      <c r="H40" s="7"/>
      <c r="I40" s="90">
        <f t="shared" si="6"/>
        <v>0</v>
      </c>
      <c r="J40" s="91">
        <f t="shared" ref="J40:J45" si="11">ROUNDUP(H40*VLOOKUP(F40,Staff_costs,7,FALSE),-1)</f>
        <v>0</v>
      </c>
    </row>
    <row r="41" spans="1:10" x14ac:dyDescent="0.25">
      <c r="A41" s="40" t="s">
        <v>105</v>
      </c>
      <c r="B41" s="7">
        <v>2</v>
      </c>
      <c r="C41" s="12">
        <f t="shared" ref="C41:C45" si="12">D40+1</f>
        <v>43596</v>
      </c>
      <c r="D41" s="12">
        <f t="shared" ref="D41:D45" si="13">D33+14</f>
        <v>43599</v>
      </c>
      <c r="E41" s="88">
        <f t="shared" si="9"/>
        <v>2</v>
      </c>
      <c r="F41" s="3" t="s">
        <v>47</v>
      </c>
      <c r="G41" s="89">
        <f t="shared" si="10"/>
        <v>1000</v>
      </c>
      <c r="H41" s="7"/>
      <c r="I41" s="90">
        <f t="shared" si="6"/>
        <v>0</v>
      </c>
      <c r="J41" s="91">
        <f t="shared" si="11"/>
        <v>0</v>
      </c>
    </row>
    <row r="42" spans="1:10" x14ac:dyDescent="0.25">
      <c r="A42" s="40" t="s">
        <v>105</v>
      </c>
      <c r="B42" s="7">
        <v>5</v>
      </c>
      <c r="C42" s="12">
        <f t="shared" si="12"/>
        <v>43600</v>
      </c>
      <c r="D42" s="12">
        <f t="shared" si="13"/>
        <v>43609</v>
      </c>
      <c r="E42" s="88">
        <f t="shared" si="9"/>
        <v>8</v>
      </c>
      <c r="F42" s="3" t="s">
        <v>47</v>
      </c>
      <c r="G42" s="89">
        <f t="shared" si="10"/>
        <v>2500</v>
      </c>
      <c r="H42" s="7"/>
      <c r="I42" s="90">
        <f t="shared" si="6"/>
        <v>0</v>
      </c>
      <c r="J42" s="91">
        <f t="shared" si="11"/>
        <v>0</v>
      </c>
    </row>
    <row r="43" spans="1:10" x14ac:dyDescent="0.25">
      <c r="A43" s="40" t="s">
        <v>106</v>
      </c>
      <c r="B43" s="7">
        <v>3</v>
      </c>
      <c r="C43" s="12">
        <f t="shared" si="12"/>
        <v>43610</v>
      </c>
      <c r="D43" s="12">
        <f t="shared" si="13"/>
        <v>43612</v>
      </c>
      <c r="E43" s="88">
        <f t="shared" si="9"/>
        <v>1</v>
      </c>
      <c r="F43" s="3" t="s">
        <v>47</v>
      </c>
      <c r="G43" s="89">
        <f t="shared" si="10"/>
        <v>1500</v>
      </c>
      <c r="H43" s="7"/>
      <c r="I43" s="90">
        <f t="shared" si="6"/>
        <v>0</v>
      </c>
      <c r="J43" s="91">
        <f t="shared" si="11"/>
        <v>0</v>
      </c>
    </row>
    <row r="44" spans="1:10" x14ac:dyDescent="0.25">
      <c r="A44" s="40" t="s">
        <v>106</v>
      </c>
      <c r="B44" s="7">
        <v>5</v>
      </c>
      <c r="C44" s="12">
        <f t="shared" si="12"/>
        <v>43613</v>
      </c>
      <c r="D44" s="12">
        <f t="shared" si="13"/>
        <v>43621</v>
      </c>
      <c r="E44" s="88">
        <f t="shared" si="9"/>
        <v>7</v>
      </c>
      <c r="F44" s="3" t="s">
        <v>47</v>
      </c>
      <c r="G44" s="89">
        <f t="shared" si="10"/>
        <v>2500</v>
      </c>
      <c r="H44" s="7"/>
      <c r="I44" s="90">
        <f t="shared" si="6"/>
        <v>0</v>
      </c>
      <c r="J44" s="91">
        <f t="shared" si="11"/>
        <v>0</v>
      </c>
    </row>
    <row r="45" spans="1:10" x14ac:dyDescent="0.25">
      <c r="A45" s="40" t="s">
        <v>106</v>
      </c>
      <c r="B45" s="7">
        <v>1</v>
      </c>
      <c r="C45" s="12">
        <f t="shared" si="12"/>
        <v>43622</v>
      </c>
      <c r="D45" s="12">
        <f t="shared" si="13"/>
        <v>43623</v>
      </c>
      <c r="E45" s="88">
        <f t="shared" si="9"/>
        <v>2</v>
      </c>
      <c r="F45" s="3" t="s">
        <v>47</v>
      </c>
      <c r="G45" s="89">
        <f t="shared" si="10"/>
        <v>500</v>
      </c>
      <c r="H45" s="7"/>
      <c r="I45" s="90">
        <f t="shared" si="6"/>
        <v>0</v>
      </c>
      <c r="J45" s="91">
        <f t="shared" si="11"/>
        <v>0</v>
      </c>
    </row>
    <row r="46" spans="1:10" x14ac:dyDescent="0.25">
      <c r="A46" s="80" t="s">
        <v>108</v>
      </c>
      <c r="B46" s="81"/>
      <c r="C46" s="82"/>
      <c r="D46" s="82">
        <f>MAX(D40:D45)</f>
        <v>43623</v>
      </c>
      <c r="E46" s="88"/>
      <c r="F46" s="3"/>
      <c r="G46" s="89"/>
      <c r="H46" s="7"/>
      <c r="I46" s="90"/>
      <c r="J46" s="91"/>
    </row>
    <row r="47" spans="1:10" x14ac:dyDescent="0.25">
      <c r="A47" s="36" t="s">
        <v>31</v>
      </c>
      <c r="B47" s="7"/>
      <c r="C47" s="12"/>
      <c r="D47" s="12"/>
      <c r="E47" s="88"/>
      <c r="F47" s="3"/>
      <c r="G47" s="89"/>
      <c r="H47" s="7"/>
      <c r="I47" s="90"/>
      <c r="J47" s="91"/>
    </row>
    <row r="48" spans="1:10" x14ac:dyDescent="0.25">
      <c r="A48" s="40" t="s">
        <v>32</v>
      </c>
      <c r="B48" s="7">
        <v>30</v>
      </c>
      <c r="C48" s="12">
        <v>43586</v>
      </c>
      <c r="D48" s="12">
        <v>43600</v>
      </c>
      <c r="E48" s="88">
        <f t="shared" ref="E48:E53" si="14">NETWORKDAYS(C48,D48,Holidays)</f>
        <v>11</v>
      </c>
      <c r="F48" s="3" t="s">
        <v>47</v>
      </c>
      <c r="G48" s="89">
        <f t="shared" ref="G48:G53" si="15">ROUNDUP(B48*VLOOKUP(F48,Staff_costs,7,FALSE),-1)</f>
        <v>15000</v>
      </c>
      <c r="H48" s="7"/>
      <c r="I48" s="90">
        <f t="shared" si="6"/>
        <v>0</v>
      </c>
      <c r="J48" s="91">
        <f t="shared" ref="J48:J53" si="16">ROUNDUP(H48*VLOOKUP(F48,Staff_costs,7,FALSE),-1)</f>
        <v>0</v>
      </c>
    </row>
    <row r="49" spans="1:10" x14ac:dyDescent="0.25">
      <c r="A49" s="40" t="s">
        <v>32</v>
      </c>
      <c r="B49" s="7">
        <v>8</v>
      </c>
      <c r="C49" s="12">
        <f t="shared" ref="C49:C50" si="17">D48+1</f>
        <v>43601</v>
      </c>
      <c r="D49" s="12">
        <v>43605</v>
      </c>
      <c r="E49" s="88">
        <f t="shared" si="14"/>
        <v>3</v>
      </c>
      <c r="F49" s="3" t="s">
        <v>47</v>
      </c>
      <c r="G49" s="89">
        <f t="shared" si="15"/>
        <v>4000</v>
      </c>
      <c r="H49" s="7"/>
      <c r="I49" s="90">
        <f t="shared" si="6"/>
        <v>0</v>
      </c>
      <c r="J49" s="91">
        <f t="shared" si="16"/>
        <v>0</v>
      </c>
    </row>
    <row r="50" spans="1:10" x14ac:dyDescent="0.25">
      <c r="A50" s="40" t="s">
        <v>32</v>
      </c>
      <c r="B50" s="7">
        <v>25</v>
      </c>
      <c r="C50" s="12">
        <f t="shared" si="17"/>
        <v>43606</v>
      </c>
      <c r="D50" s="12">
        <v>43616</v>
      </c>
      <c r="E50" s="88">
        <f t="shared" si="14"/>
        <v>9</v>
      </c>
      <c r="F50" s="3" t="s">
        <v>47</v>
      </c>
      <c r="G50" s="89">
        <f t="shared" si="15"/>
        <v>12500</v>
      </c>
      <c r="H50" s="7"/>
      <c r="I50" s="90">
        <f t="shared" si="6"/>
        <v>0</v>
      </c>
      <c r="J50" s="91">
        <f t="shared" si="16"/>
        <v>0</v>
      </c>
    </row>
    <row r="51" spans="1:10" x14ac:dyDescent="0.25">
      <c r="A51" s="40" t="s">
        <v>33</v>
      </c>
      <c r="B51" s="7">
        <v>2</v>
      </c>
      <c r="C51" s="12">
        <v>43586</v>
      </c>
      <c r="D51" s="12">
        <v>43595</v>
      </c>
      <c r="E51" s="88">
        <f t="shared" si="14"/>
        <v>8</v>
      </c>
      <c r="F51" s="3" t="s">
        <v>47</v>
      </c>
      <c r="G51" s="89">
        <f t="shared" si="15"/>
        <v>1000</v>
      </c>
      <c r="H51" s="7"/>
      <c r="I51" s="90">
        <f t="shared" si="6"/>
        <v>0</v>
      </c>
      <c r="J51" s="91">
        <f t="shared" si="16"/>
        <v>0</v>
      </c>
    </row>
    <row r="52" spans="1:10" x14ac:dyDescent="0.25">
      <c r="A52" s="40" t="s">
        <v>33</v>
      </c>
      <c r="B52" s="7">
        <v>18</v>
      </c>
      <c r="C52" s="12">
        <f t="shared" ref="C52:C53" si="18">D51+1</f>
        <v>43596</v>
      </c>
      <c r="D52" s="12">
        <v>43613</v>
      </c>
      <c r="E52" s="88">
        <f t="shared" si="14"/>
        <v>12</v>
      </c>
      <c r="F52" s="3" t="s">
        <v>47</v>
      </c>
      <c r="G52" s="89">
        <f t="shared" si="15"/>
        <v>9000</v>
      </c>
      <c r="H52" s="7"/>
      <c r="I52" s="90">
        <f t="shared" si="6"/>
        <v>0</v>
      </c>
      <c r="J52" s="91">
        <f t="shared" si="16"/>
        <v>0</v>
      </c>
    </row>
    <row r="53" spans="1:10" x14ac:dyDescent="0.25">
      <c r="A53" s="40" t="s">
        <v>33</v>
      </c>
      <c r="B53" s="7">
        <v>10</v>
      </c>
      <c r="C53" s="12">
        <f t="shared" si="18"/>
        <v>43614</v>
      </c>
      <c r="D53" s="12">
        <v>43621</v>
      </c>
      <c r="E53" s="88">
        <f t="shared" si="14"/>
        <v>6</v>
      </c>
      <c r="F53" s="3" t="s">
        <v>47</v>
      </c>
      <c r="G53" s="89">
        <f t="shared" si="15"/>
        <v>5000</v>
      </c>
      <c r="H53" s="7"/>
      <c r="I53" s="90">
        <f t="shared" si="6"/>
        <v>0</v>
      </c>
      <c r="J53" s="91">
        <f t="shared" si="16"/>
        <v>0</v>
      </c>
    </row>
    <row r="54" spans="1:10" x14ac:dyDescent="0.25">
      <c r="A54" s="83" t="s">
        <v>109</v>
      </c>
      <c r="B54" s="81"/>
      <c r="C54" s="82"/>
      <c r="D54" s="82">
        <f>MAX(D48:D53)</f>
        <v>43621</v>
      </c>
      <c r="E54" s="88"/>
      <c r="F54" s="3"/>
      <c r="G54" s="89"/>
      <c r="H54" s="7"/>
      <c r="I54" s="90"/>
      <c r="J54" s="91"/>
    </row>
    <row r="55" spans="1:10" x14ac:dyDescent="0.25">
      <c r="A55" s="36" t="s">
        <v>16</v>
      </c>
      <c r="B55" s="7"/>
      <c r="C55" s="12"/>
      <c r="D55" s="12"/>
      <c r="E55" s="88"/>
      <c r="F55" s="3"/>
      <c r="G55" s="89"/>
      <c r="H55" s="7"/>
      <c r="I55" s="90"/>
      <c r="J55" s="91"/>
    </row>
    <row r="56" spans="1:10" x14ac:dyDescent="0.25">
      <c r="A56" s="40" t="s">
        <v>34</v>
      </c>
      <c r="B56" s="7">
        <v>1</v>
      </c>
      <c r="C56" s="12">
        <v>43622</v>
      </c>
      <c r="D56" s="12">
        <v>43622</v>
      </c>
      <c r="E56" s="88">
        <f t="shared" ref="E56:E62" si="19">NETWORKDAYS(C56,D56,Holidays)</f>
        <v>1</v>
      </c>
      <c r="F56" s="3" t="s">
        <v>47</v>
      </c>
      <c r="G56" s="89">
        <f t="shared" ref="G56:G62" si="20">ROUNDUP(B56*VLOOKUP(F56,Staff_costs,7,FALSE),-1)</f>
        <v>500</v>
      </c>
      <c r="H56" s="7"/>
      <c r="I56" s="90">
        <f t="shared" si="6"/>
        <v>0</v>
      </c>
      <c r="J56" s="91">
        <f t="shared" ref="J56:J62" si="21">ROUNDUP(H56*VLOOKUP(F56,Staff_costs,7,FALSE),-1)</f>
        <v>0</v>
      </c>
    </row>
    <row r="57" spans="1:10" x14ac:dyDescent="0.25">
      <c r="A57" s="40" t="s">
        <v>34</v>
      </c>
      <c r="B57" s="7">
        <v>0.5</v>
      </c>
      <c r="C57" s="12">
        <f t="shared" ref="C57:C59" si="22">D56+1</f>
        <v>43623</v>
      </c>
      <c r="D57" s="12">
        <v>43625</v>
      </c>
      <c r="E57" s="88">
        <f t="shared" si="19"/>
        <v>1</v>
      </c>
      <c r="F57" s="3" t="s">
        <v>47</v>
      </c>
      <c r="G57" s="89">
        <f t="shared" si="20"/>
        <v>250</v>
      </c>
      <c r="H57" s="7"/>
      <c r="I57" s="90">
        <f t="shared" si="6"/>
        <v>0</v>
      </c>
      <c r="J57" s="91">
        <f t="shared" si="21"/>
        <v>0</v>
      </c>
    </row>
    <row r="58" spans="1:10" x14ac:dyDescent="0.25">
      <c r="A58" s="40" t="s">
        <v>34</v>
      </c>
      <c r="B58" s="7">
        <v>2</v>
      </c>
      <c r="C58" s="12">
        <f t="shared" si="22"/>
        <v>43626</v>
      </c>
      <c r="D58" s="12">
        <v>43627</v>
      </c>
      <c r="E58" s="88">
        <f t="shared" si="19"/>
        <v>1</v>
      </c>
      <c r="F58" s="3" t="s">
        <v>47</v>
      </c>
      <c r="G58" s="89">
        <f t="shared" si="20"/>
        <v>1000</v>
      </c>
      <c r="H58" s="7"/>
      <c r="I58" s="90">
        <f t="shared" si="6"/>
        <v>0</v>
      </c>
      <c r="J58" s="91">
        <f t="shared" si="21"/>
        <v>0</v>
      </c>
    </row>
    <row r="59" spans="1:10" x14ac:dyDescent="0.25">
      <c r="A59" s="40" t="s">
        <v>35</v>
      </c>
      <c r="B59" s="7">
        <v>1</v>
      </c>
      <c r="C59" s="12">
        <f t="shared" si="22"/>
        <v>43628</v>
      </c>
      <c r="D59" s="12">
        <v>43628</v>
      </c>
      <c r="E59" s="88">
        <f t="shared" si="19"/>
        <v>1</v>
      </c>
      <c r="F59" s="3" t="s">
        <v>46</v>
      </c>
      <c r="G59" s="89">
        <f t="shared" si="20"/>
        <v>840</v>
      </c>
      <c r="H59" s="7"/>
      <c r="I59" s="90">
        <f t="shared" si="6"/>
        <v>0</v>
      </c>
      <c r="J59" s="91">
        <f t="shared" si="21"/>
        <v>0</v>
      </c>
    </row>
    <row r="60" spans="1:10" x14ac:dyDescent="0.25">
      <c r="A60" s="40" t="s">
        <v>36</v>
      </c>
      <c r="B60" s="7">
        <v>1</v>
      </c>
      <c r="C60" s="12">
        <f>C59</f>
        <v>43628</v>
      </c>
      <c r="D60" s="12">
        <v>43628</v>
      </c>
      <c r="E60" s="88">
        <f t="shared" si="19"/>
        <v>1</v>
      </c>
      <c r="F60" s="3" t="s">
        <v>48</v>
      </c>
      <c r="G60" s="89">
        <f t="shared" si="20"/>
        <v>500</v>
      </c>
      <c r="H60" s="7"/>
      <c r="I60" s="90">
        <f t="shared" si="6"/>
        <v>0</v>
      </c>
      <c r="J60" s="91">
        <f t="shared" si="21"/>
        <v>0</v>
      </c>
    </row>
    <row r="61" spans="1:10" x14ac:dyDescent="0.25">
      <c r="A61" s="83" t="s">
        <v>110</v>
      </c>
      <c r="B61" s="81"/>
      <c r="C61" s="82">
        <f>D60</f>
        <v>43628</v>
      </c>
      <c r="D61" s="82">
        <f>MAX(D56:D60)</f>
        <v>43628</v>
      </c>
      <c r="E61" s="88"/>
      <c r="F61" s="3"/>
      <c r="G61" s="89"/>
      <c r="H61" s="7"/>
      <c r="I61" s="90"/>
      <c r="J61" s="91"/>
    </row>
    <row r="62" spans="1:10" x14ac:dyDescent="0.25">
      <c r="A62" s="36" t="s">
        <v>17</v>
      </c>
      <c r="B62" s="7">
        <v>0</v>
      </c>
      <c r="C62" s="12">
        <v>43637</v>
      </c>
      <c r="D62" s="12">
        <v>43637</v>
      </c>
      <c r="E62" s="88">
        <f t="shared" si="19"/>
        <v>1</v>
      </c>
      <c r="F62" s="3" t="s">
        <v>46</v>
      </c>
      <c r="G62" s="89">
        <f t="shared" si="20"/>
        <v>0</v>
      </c>
      <c r="H62" s="7"/>
      <c r="I62" s="90">
        <f t="shared" si="6"/>
        <v>0</v>
      </c>
      <c r="J62" s="91">
        <f t="shared" si="21"/>
        <v>0</v>
      </c>
    </row>
    <row r="63" spans="1:10" x14ac:dyDescent="0.25">
      <c r="A63" s="41" t="s">
        <v>49</v>
      </c>
      <c r="B63" s="7"/>
      <c r="C63" s="12"/>
      <c r="D63" s="12"/>
      <c r="E63" s="7"/>
      <c r="F63" s="3"/>
      <c r="G63" s="20"/>
      <c r="H63" s="7"/>
      <c r="I63" s="37"/>
      <c r="J63" s="38"/>
    </row>
    <row r="64" spans="1:10" ht="24.95" customHeight="1" x14ac:dyDescent="0.25">
      <c r="A64" s="63" t="s">
        <v>18</v>
      </c>
      <c r="B64" s="64"/>
      <c r="C64" s="65"/>
      <c r="D64" s="65"/>
      <c r="E64" s="64"/>
      <c r="F64" s="66"/>
      <c r="G64" s="64"/>
      <c r="H64" s="64"/>
      <c r="I64" s="64"/>
      <c r="J64" s="67"/>
    </row>
    <row r="65" spans="1:10" x14ac:dyDescent="0.25">
      <c r="A65" s="36" t="s">
        <v>19</v>
      </c>
      <c r="B65" s="7">
        <v>0.5</v>
      </c>
      <c r="C65" s="12">
        <v>43640</v>
      </c>
      <c r="D65" s="12">
        <v>43640</v>
      </c>
      <c r="E65" s="88">
        <f>NETWORKDAYS(C65,D65,Holidays)</f>
        <v>1</v>
      </c>
      <c r="F65" s="3" t="s">
        <v>44</v>
      </c>
      <c r="G65" s="89">
        <f>ROUNDUP(B65*VLOOKUP(F65,Staff_costs,7,FALSE),-1)</f>
        <v>330</v>
      </c>
      <c r="H65" s="7"/>
      <c r="I65" s="90">
        <f t="shared" si="6"/>
        <v>0</v>
      </c>
      <c r="J65" s="91">
        <f>ROUNDUP(H65*VLOOKUP(F65,Staff_costs,7,FALSE),-1)</f>
        <v>0</v>
      </c>
    </row>
    <row r="66" spans="1:10" x14ac:dyDescent="0.25">
      <c r="A66" s="36" t="s">
        <v>20</v>
      </c>
      <c r="B66" s="7"/>
      <c r="C66" s="12"/>
      <c r="D66" s="12"/>
      <c r="E66" s="88"/>
      <c r="F66" s="3"/>
      <c r="G66" s="89"/>
      <c r="H66" s="7"/>
      <c r="I66" s="90"/>
      <c r="J66" s="91"/>
    </row>
    <row r="67" spans="1:10" x14ac:dyDescent="0.25">
      <c r="A67" s="40" t="s">
        <v>38</v>
      </c>
      <c r="B67" s="7">
        <v>0.5</v>
      </c>
      <c r="C67" s="12">
        <v>43641</v>
      </c>
      <c r="D67" s="12">
        <v>43641</v>
      </c>
      <c r="E67" s="88">
        <f t="shared" ref="E67:E72" si="23">NETWORKDAYS(C67,D67,Holidays)</f>
        <v>1</v>
      </c>
      <c r="F67" s="3" t="s">
        <v>44</v>
      </c>
      <c r="G67" s="89">
        <f t="shared" ref="G67:G72" si="24">ROUNDUP(B67*VLOOKUP(F67,Staff_costs,7,FALSE),-1)</f>
        <v>330</v>
      </c>
      <c r="H67" s="7"/>
      <c r="I67" s="90">
        <f t="shared" si="6"/>
        <v>0</v>
      </c>
      <c r="J67" s="91">
        <f t="shared" ref="J67:J72" si="25">ROUNDUP(H67*VLOOKUP(F67,Staff_costs,7,FALSE),-1)</f>
        <v>0</v>
      </c>
    </row>
    <row r="68" spans="1:10" x14ac:dyDescent="0.25">
      <c r="A68" s="40" t="s">
        <v>37</v>
      </c>
      <c r="B68" s="7">
        <f>5*0.5</f>
        <v>2.5</v>
      </c>
      <c r="C68" s="12">
        <v>43643</v>
      </c>
      <c r="D68" s="12">
        <v>43643</v>
      </c>
      <c r="E68" s="88">
        <f t="shared" si="23"/>
        <v>1</v>
      </c>
      <c r="F68" s="3" t="s">
        <v>51</v>
      </c>
      <c r="G68" s="89">
        <f t="shared" si="24"/>
        <v>1570</v>
      </c>
      <c r="H68" s="7"/>
      <c r="I68" s="90">
        <f t="shared" si="6"/>
        <v>0</v>
      </c>
      <c r="J68" s="91">
        <f t="shared" si="25"/>
        <v>0</v>
      </c>
    </row>
    <row r="69" spans="1:10" x14ac:dyDescent="0.25">
      <c r="A69" s="40" t="s">
        <v>39</v>
      </c>
      <c r="B69" s="7">
        <v>1</v>
      </c>
      <c r="C69" s="12">
        <v>43644</v>
      </c>
      <c r="D69" s="12">
        <v>43648</v>
      </c>
      <c r="E69" s="88">
        <f t="shared" si="23"/>
        <v>3</v>
      </c>
      <c r="F69" s="3" t="s">
        <v>44</v>
      </c>
      <c r="G69" s="89">
        <f t="shared" si="24"/>
        <v>660</v>
      </c>
      <c r="H69" s="7"/>
      <c r="I69" s="90">
        <f t="shared" si="6"/>
        <v>0</v>
      </c>
      <c r="J69" s="91">
        <f t="shared" si="25"/>
        <v>0</v>
      </c>
    </row>
    <row r="70" spans="1:10" x14ac:dyDescent="0.25">
      <c r="A70" s="40" t="s">
        <v>40</v>
      </c>
      <c r="B70" s="7">
        <v>2</v>
      </c>
      <c r="C70" s="12">
        <v>43644</v>
      </c>
      <c r="D70" s="12">
        <v>43649</v>
      </c>
      <c r="E70" s="88">
        <f t="shared" si="23"/>
        <v>4</v>
      </c>
      <c r="F70" s="3" t="s">
        <v>44</v>
      </c>
      <c r="G70" s="89">
        <f t="shared" si="24"/>
        <v>1320</v>
      </c>
      <c r="H70" s="7"/>
      <c r="I70" s="90">
        <f t="shared" si="6"/>
        <v>0</v>
      </c>
      <c r="J70" s="91">
        <f t="shared" si="25"/>
        <v>0</v>
      </c>
    </row>
    <row r="71" spans="1:10" x14ac:dyDescent="0.25">
      <c r="A71" s="40" t="s">
        <v>41</v>
      </c>
      <c r="B71" s="7">
        <v>0.5</v>
      </c>
      <c r="C71" s="12">
        <f t="shared" ref="C71:C72" si="26">D70+1</f>
        <v>43650</v>
      </c>
      <c r="D71" s="12">
        <v>43651</v>
      </c>
      <c r="E71" s="88">
        <f t="shared" si="23"/>
        <v>2</v>
      </c>
      <c r="F71" s="3" t="s">
        <v>46</v>
      </c>
      <c r="G71" s="89">
        <f t="shared" si="24"/>
        <v>420</v>
      </c>
      <c r="H71" s="7"/>
      <c r="I71" s="90">
        <f t="shared" si="6"/>
        <v>0</v>
      </c>
      <c r="J71" s="91">
        <f t="shared" si="25"/>
        <v>0</v>
      </c>
    </row>
    <row r="72" spans="1:10" x14ac:dyDescent="0.25">
      <c r="A72" s="42" t="s">
        <v>42</v>
      </c>
      <c r="B72" s="43">
        <v>0</v>
      </c>
      <c r="C72" s="44">
        <f t="shared" si="26"/>
        <v>43652</v>
      </c>
      <c r="D72" s="44">
        <v>43652</v>
      </c>
      <c r="E72" s="92">
        <f t="shared" si="23"/>
        <v>0</v>
      </c>
      <c r="F72" s="45" t="s">
        <v>46</v>
      </c>
      <c r="G72" s="93">
        <f t="shared" si="24"/>
        <v>0</v>
      </c>
      <c r="H72" s="43"/>
      <c r="I72" s="94">
        <f t="shared" si="6"/>
        <v>0</v>
      </c>
      <c r="J72" s="95">
        <f t="shared" si="25"/>
        <v>0</v>
      </c>
    </row>
    <row r="73" spans="1:10" x14ac:dyDescent="0.25">
      <c r="A73" s="84" t="s">
        <v>5</v>
      </c>
      <c r="B73" s="81"/>
      <c r="C73" s="82">
        <f>D72</f>
        <v>43652</v>
      </c>
      <c r="D73" s="82">
        <f>D72</f>
        <v>43652</v>
      </c>
      <c r="E73" s="88"/>
      <c r="F73" s="3"/>
      <c r="G73" s="89"/>
      <c r="H73" s="7"/>
      <c r="I73" s="90"/>
      <c r="J73" s="89"/>
    </row>
    <row r="74" spans="1:10" x14ac:dyDescent="0.25">
      <c r="A74" s="6" t="s">
        <v>49</v>
      </c>
      <c r="B74" s="9"/>
      <c r="C74" s="11"/>
      <c r="D74" s="11"/>
      <c r="E74" s="9"/>
      <c r="F74"/>
      <c r="G74" s="14"/>
      <c r="H74" s="9"/>
      <c r="I74" s="9"/>
      <c r="J74" s="14"/>
    </row>
    <row r="75" spans="1:10" ht="24.95" customHeight="1" x14ac:dyDescent="0.25">
      <c r="A75" s="52" t="s">
        <v>21</v>
      </c>
      <c r="B75" s="58" t="str">
        <f>SUM(B76:B78)&amp;" days"</f>
        <v>12 days</v>
      </c>
      <c r="C75" s="59">
        <f>MIN(C76:C78)</f>
        <v>43647</v>
      </c>
      <c r="D75" s="59">
        <f>MAX(D76:D78)</f>
        <v>43738</v>
      </c>
      <c r="E75" s="58" t="str">
        <f>_xlfn.DAYS(D75,C75)&amp;" days"</f>
        <v>91 days</v>
      </c>
      <c r="F75" s="60">
        <f>SUM(B76:B78)/SUM(E76:E78)</f>
        <v>8.8235294117647065E-2</v>
      </c>
      <c r="G75" s="61">
        <f>SUM(G76:G78)</f>
        <v>9990</v>
      </c>
      <c r="H75" s="58" t="str">
        <f>SUM(H76:H78)&amp;" days"</f>
        <v>0 days</v>
      </c>
      <c r="I75" s="60">
        <f>AVERAGE(I76:I78)</f>
        <v>0</v>
      </c>
      <c r="J75" s="62">
        <f>SUM(J76:J78)</f>
        <v>0</v>
      </c>
    </row>
    <row r="76" spans="1:10" x14ac:dyDescent="0.25">
      <c r="A76" s="2" t="s">
        <v>43</v>
      </c>
      <c r="B76" s="7">
        <f>3*0.5</f>
        <v>1.5</v>
      </c>
      <c r="C76" s="12">
        <v>43647</v>
      </c>
      <c r="D76" s="12">
        <v>43738</v>
      </c>
      <c r="E76" s="88">
        <f>NETWORKDAYS(C76,D76,Holidays)</f>
        <v>66</v>
      </c>
      <c r="F76" s="3" t="s">
        <v>46</v>
      </c>
      <c r="G76" s="89">
        <f>ROUNDUP(B76*VLOOKUP(F76,Staff_costs,7,FALSE),-1)</f>
        <v>1260</v>
      </c>
      <c r="H76" s="7"/>
      <c r="I76" s="90">
        <f>IF(B71=0,0,H71/B71)</f>
        <v>0</v>
      </c>
      <c r="J76" s="98">
        <f>ROUNDUP(H76*VLOOKUP(F76,Staff_costs,7,FALSE),-1)</f>
        <v>0</v>
      </c>
    </row>
    <row r="77" spans="1:10" x14ac:dyDescent="0.25">
      <c r="A77" s="2" t="s">
        <v>22</v>
      </c>
      <c r="B77" s="7">
        <f>10*1</f>
        <v>10</v>
      </c>
      <c r="C77" s="12">
        <v>43647</v>
      </c>
      <c r="D77" s="12">
        <v>43738</v>
      </c>
      <c r="E77" s="88">
        <f>NETWORKDAYS(C77,D77,Holidays)</f>
        <v>66</v>
      </c>
      <c r="F77" s="3" t="s">
        <v>46</v>
      </c>
      <c r="G77" s="89">
        <f>ROUNDUP(B77*VLOOKUP(F77,Staff_costs,7,FALSE),-1)</f>
        <v>8400</v>
      </c>
      <c r="H77" s="7"/>
      <c r="I77" s="90">
        <f>IF(B72=0,0,H72/B72)</f>
        <v>0</v>
      </c>
      <c r="J77" s="98">
        <f>ROUNDUP(H77*VLOOKUP(F77,Staff_costs,7,FALSE),-1)</f>
        <v>0</v>
      </c>
    </row>
    <row r="78" spans="1:10" x14ac:dyDescent="0.25">
      <c r="A78" s="4" t="s">
        <v>23</v>
      </c>
      <c r="B78" s="8">
        <v>0.5</v>
      </c>
      <c r="C78" s="13">
        <v>43733</v>
      </c>
      <c r="D78" s="13">
        <v>43738</v>
      </c>
      <c r="E78" s="96">
        <f>NETWORKDAYS(C78,D78,Holidays)</f>
        <v>4</v>
      </c>
      <c r="F78" s="5" t="s">
        <v>50</v>
      </c>
      <c r="G78" s="97">
        <f>ROUNDUP(B78*VLOOKUP(F78,Staff_costs,7,FALSE),-1)</f>
        <v>330</v>
      </c>
      <c r="H78" s="8"/>
      <c r="I78" s="99">
        <f t="shared" ref="I78" si="27">IF(B74=0,0,H74/B74)</f>
        <v>0</v>
      </c>
      <c r="J78" s="100">
        <f>ROUNDUP(H78*VLOOKUP(F78,Staff_costs,7,FALSE),-1)</f>
        <v>0</v>
      </c>
    </row>
    <row r="82" spans="1:7" x14ac:dyDescent="0.25">
      <c r="A82" s="27" t="s">
        <v>64</v>
      </c>
      <c r="B82" s="28"/>
      <c r="C82" s="28"/>
      <c r="D82" s="28"/>
      <c r="E82" s="28"/>
      <c r="F82" s="29"/>
      <c r="G82" s="28"/>
    </row>
    <row r="83" spans="1:7" x14ac:dyDescent="0.25">
      <c r="A83" s="29" t="s">
        <v>47</v>
      </c>
      <c r="B83" s="28"/>
      <c r="C83" s="28"/>
      <c r="D83" s="28"/>
      <c r="E83" s="28"/>
      <c r="F83" s="29" t="s">
        <v>65</v>
      </c>
      <c r="G83" s="30">
        <f>ROUNDUP(1.275*90129/230,-1)</f>
        <v>500</v>
      </c>
    </row>
    <row r="84" spans="1:7" x14ac:dyDescent="0.25">
      <c r="A84" s="29" t="s">
        <v>44</v>
      </c>
      <c r="B84" s="28"/>
      <c r="C84" s="28"/>
      <c r="D84" s="28"/>
      <c r="E84" s="28"/>
      <c r="F84" s="29" t="s">
        <v>66</v>
      </c>
      <c r="G84" s="30">
        <f>ROUNDUP(1.275*118009/230,-1)</f>
        <v>660</v>
      </c>
    </row>
    <row r="85" spans="1:7" x14ac:dyDescent="0.25">
      <c r="A85" s="29" t="s">
        <v>46</v>
      </c>
      <c r="B85" s="28"/>
      <c r="C85" s="28"/>
      <c r="D85" s="28"/>
      <c r="E85" s="28"/>
      <c r="F85" s="29" t="s">
        <v>67</v>
      </c>
      <c r="G85" s="30">
        <f>ROUNDUP(1.275*150000/230,-1)</f>
        <v>840</v>
      </c>
    </row>
    <row r="86" spans="1:7" x14ac:dyDescent="0.25">
      <c r="A86" s="29" t="s">
        <v>48</v>
      </c>
      <c r="B86" s="28"/>
      <c r="C86" s="28"/>
      <c r="D86" s="28"/>
      <c r="E86" s="28"/>
      <c r="F86" s="29" t="s">
        <v>65</v>
      </c>
      <c r="G86" s="30">
        <f t="shared" ref="G86" si="28">ROUNDUP(1.275*90129/230,-1)</f>
        <v>500</v>
      </c>
    </row>
    <row r="87" spans="1:7" x14ac:dyDescent="0.25">
      <c r="A87" s="29" t="s">
        <v>50</v>
      </c>
      <c r="B87" s="28"/>
      <c r="C87" s="28"/>
      <c r="D87" s="28"/>
      <c r="E87" s="28"/>
      <c r="F87" s="29" t="s">
        <v>66</v>
      </c>
      <c r="G87" s="30">
        <f>ROUNDUP(1.275*118009/230,-1)</f>
        <v>660</v>
      </c>
    </row>
    <row r="88" spans="1:7" x14ac:dyDescent="0.25">
      <c r="A88" s="29" t="s">
        <v>45</v>
      </c>
      <c r="B88" s="28"/>
      <c r="C88" s="28"/>
      <c r="D88" s="28"/>
      <c r="E88" s="28"/>
      <c r="F88" s="29" t="s">
        <v>68</v>
      </c>
      <c r="G88" s="30">
        <f>(G84+G85)/2</f>
        <v>750</v>
      </c>
    </row>
    <row r="89" spans="1:7" x14ac:dyDescent="0.25">
      <c r="A89" s="29" t="s">
        <v>51</v>
      </c>
      <c r="B89" s="28"/>
      <c r="C89" s="28"/>
      <c r="D89" s="28"/>
      <c r="E89" s="28"/>
      <c r="F89" s="29" t="s">
        <v>69</v>
      </c>
      <c r="G89" s="30">
        <f>(2*G83+G84+G85)/4</f>
        <v>625</v>
      </c>
    </row>
    <row r="92" spans="1:7" x14ac:dyDescent="0.25">
      <c r="A92" s="27" t="s">
        <v>53</v>
      </c>
      <c r="B92" s="28"/>
      <c r="C92" s="28"/>
      <c r="D92" s="28"/>
      <c r="E92" s="28"/>
      <c r="F92" s="29"/>
    </row>
    <row r="93" spans="1:7" x14ac:dyDescent="0.25">
      <c r="A93" s="29" t="s">
        <v>57</v>
      </c>
      <c r="B93" s="28"/>
      <c r="C93" s="28"/>
      <c r="D93" s="31">
        <v>43574</v>
      </c>
      <c r="E93" s="28"/>
      <c r="F93" s="29"/>
    </row>
    <row r="94" spans="1:7" x14ac:dyDescent="0.25">
      <c r="A94" s="29" t="s">
        <v>56</v>
      </c>
      <c r="B94" s="28"/>
      <c r="C94" s="28"/>
      <c r="D94" s="31">
        <v>43577</v>
      </c>
      <c r="E94" s="28"/>
      <c r="F94" s="29"/>
    </row>
    <row r="95" spans="1:7" x14ac:dyDescent="0.25">
      <c r="A95" s="29" t="s">
        <v>58</v>
      </c>
      <c r="B95" s="28"/>
      <c r="C95" s="28"/>
      <c r="D95" s="31">
        <v>43580</v>
      </c>
      <c r="E95" s="28"/>
      <c r="F95" s="29"/>
    </row>
    <row r="96" spans="1:7" x14ac:dyDescent="0.25">
      <c r="A96" s="29" t="s">
        <v>54</v>
      </c>
      <c r="B96" s="28"/>
      <c r="C96" s="28"/>
      <c r="D96" s="31">
        <v>43626</v>
      </c>
      <c r="E96" s="28"/>
      <c r="F96" s="29"/>
    </row>
    <row r="97" spans="1:6" x14ac:dyDescent="0.25">
      <c r="A97" s="29" t="s">
        <v>55</v>
      </c>
      <c r="B97" s="28"/>
      <c r="C97" s="28"/>
      <c r="D97" s="31">
        <v>43745</v>
      </c>
      <c r="E97" s="28"/>
      <c r="F97" s="29"/>
    </row>
    <row r="98" spans="1:6" x14ac:dyDescent="0.25">
      <c r="A98" s="29" t="s">
        <v>59</v>
      </c>
      <c r="B98" s="28"/>
      <c r="C98" s="28"/>
      <c r="D98" s="31">
        <v>43822</v>
      </c>
      <c r="E98" s="28"/>
      <c r="F98" s="29"/>
    </row>
    <row r="99" spans="1:6" x14ac:dyDescent="0.25">
      <c r="A99" s="29" t="s">
        <v>59</v>
      </c>
      <c r="B99" s="28"/>
      <c r="C99" s="28"/>
      <c r="D99" s="31">
        <v>43823</v>
      </c>
      <c r="E99" s="28"/>
      <c r="F99" s="29"/>
    </row>
    <row r="100" spans="1:6" x14ac:dyDescent="0.25">
      <c r="A100" s="29" t="s">
        <v>59</v>
      </c>
      <c r="B100" s="28"/>
      <c r="C100" s="28"/>
      <c r="D100" s="31">
        <v>43824</v>
      </c>
      <c r="E100" s="28"/>
      <c r="F100" s="29"/>
    </row>
    <row r="101" spans="1:6" x14ac:dyDescent="0.25">
      <c r="A101" s="29" t="s">
        <v>59</v>
      </c>
      <c r="B101" s="28"/>
      <c r="C101" s="28"/>
      <c r="D101" s="31">
        <v>43825</v>
      </c>
      <c r="E101" s="28"/>
      <c r="F101" s="29"/>
    </row>
    <row r="102" spans="1:6" x14ac:dyDescent="0.25">
      <c r="A102" s="29" t="s">
        <v>59</v>
      </c>
      <c r="B102" s="28"/>
      <c r="C102" s="28"/>
      <c r="D102" s="31">
        <v>43826</v>
      </c>
      <c r="E102" s="28"/>
      <c r="F102" s="29"/>
    </row>
    <row r="103" spans="1:6" x14ac:dyDescent="0.25">
      <c r="A103" s="29" t="s">
        <v>60</v>
      </c>
      <c r="B103" s="28"/>
      <c r="C103" s="28"/>
      <c r="D103" s="31">
        <v>43829</v>
      </c>
      <c r="E103" s="28"/>
      <c r="F103" s="29"/>
    </row>
    <row r="104" spans="1:6" x14ac:dyDescent="0.25">
      <c r="A104" s="29" t="s">
        <v>60</v>
      </c>
      <c r="B104" s="28"/>
      <c r="C104" s="28"/>
      <c r="D104" s="31">
        <v>43830</v>
      </c>
      <c r="E104" s="28"/>
      <c r="F104" s="29"/>
    </row>
    <row r="105" spans="1:6" x14ac:dyDescent="0.25">
      <c r="A105" s="29" t="s">
        <v>60</v>
      </c>
      <c r="B105" s="28"/>
      <c r="C105" s="28"/>
      <c r="D105" s="31">
        <v>43831</v>
      </c>
      <c r="E105" s="28"/>
      <c r="F105" s="29"/>
    </row>
    <row r="106" spans="1:6" x14ac:dyDescent="0.25">
      <c r="A106" s="29" t="s">
        <v>60</v>
      </c>
      <c r="B106" s="28"/>
      <c r="C106" s="28"/>
      <c r="D106" s="31">
        <v>43832</v>
      </c>
      <c r="E106" s="28"/>
      <c r="F106" s="29"/>
    </row>
    <row r="107" spans="1:6" x14ac:dyDescent="0.25">
      <c r="A107" s="29" t="s">
        <v>60</v>
      </c>
      <c r="B107" s="28"/>
      <c r="C107" s="28"/>
      <c r="D107" s="31">
        <v>43833</v>
      </c>
      <c r="E107" s="28"/>
      <c r="F107" s="29"/>
    </row>
    <row r="108" spans="1:6" x14ac:dyDescent="0.25">
      <c r="A108" s="29" t="s">
        <v>60</v>
      </c>
      <c r="B108" s="28"/>
      <c r="C108" s="28"/>
      <c r="D108" s="31">
        <v>43834</v>
      </c>
      <c r="E108" s="28"/>
      <c r="F108" s="29"/>
    </row>
    <row r="109" spans="1:6" x14ac:dyDescent="0.25">
      <c r="D109" s="32"/>
    </row>
    <row r="110" spans="1:6" x14ac:dyDescent="0.25">
      <c r="D110" s="32"/>
    </row>
  </sheetData>
  <conditionalFormatting sqref="H7">
    <cfRule type="containsText" dxfId="5" priority="7" operator="containsText" text="OK">
      <formula>NOT(ISERROR(SEARCH("OK",H7)))</formula>
    </cfRule>
    <cfRule type="containsText" dxfId="4" priority="8" operator="containsText" text="Monitor">
      <formula>NOT(ISERROR(SEARCH("Monitor",H7)))</formula>
    </cfRule>
    <cfRule type="containsText" dxfId="3" priority="9" operator="containsText" text="Review">
      <formula>NOT(ISERROR(SEARCH("Review",H7)))</formula>
    </cfRule>
  </conditionalFormatting>
  <conditionalFormatting sqref="J7">
    <cfRule type="containsText" dxfId="2" priority="1" operator="containsText" text="OK">
      <formula>NOT(ISERROR(SEARCH("OK",J7)))</formula>
    </cfRule>
    <cfRule type="containsText" dxfId="1" priority="2" operator="containsText" text="Monitor">
      <formula>NOT(ISERROR(SEARCH("Monitor",J7)))</formula>
    </cfRule>
    <cfRule type="containsText" dxfId="0" priority="3" operator="containsText" text="Review">
      <formula>NOT(ISERROR(SEARCH("Review",J7)))</formula>
    </cfRule>
  </conditionalFormatting>
  <pageMargins left="0.70866141732283472" right="0.39370078740157483" top="0.74803149606299213" bottom="0.74803149606299213" header="0.19685039370078741" footer="0.19685039370078741"/>
  <pageSetup paperSize="9" scale="49" fitToHeight="9" orientation="portrait" horizontalDpi="300" verticalDpi="300" r:id="rId1"/>
  <headerFooter>
    <oddFooter>&amp;L&amp;F&amp;CPage &amp;P (&amp;N)&amp;RPrinted on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Schedule</vt:lpstr>
      <vt:lpstr>Holidays</vt:lpstr>
      <vt:lpstr>Schedule!Print_Area</vt:lpstr>
      <vt:lpstr>Staff_costs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Mikail Ruutu</dc:creator>
  <cp:lastModifiedBy>Mikail Ruutu</cp:lastModifiedBy>
  <cp:lastPrinted>2019-03-25T01:24:38Z</cp:lastPrinted>
  <dcterms:created xsi:type="dcterms:W3CDTF">2019-03-18T21:57:41Z</dcterms:created>
  <dcterms:modified xsi:type="dcterms:W3CDTF">2019-11-04T06:10:18Z</dcterms:modified>
</cp:coreProperties>
</file>