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miruutu\OneDrive - Australian Catholic University\PPO Process\Templates\PPO templates 2020\"/>
    </mc:Choice>
  </mc:AlternateContent>
  <xr:revisionPtr revIDLastSave="0" documentId="13_ncr:1_{F68E0D57-73CE-4EAE-89C4-9B3A0896BE85}" xr6:coauthVersionLast="41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Financial model" sheetId="1" r:id="rId1"/>
  </sheets>
  <definedNames>
    <definedName name="Achiev_ben">'Financial model'!$C$21</definedName>
    <definedName name="Achiev_del">'Financial model'!$F$21</definedName>
    <definedName name="Compl_ben">'Financial model'!$C$21</definedName>
    <definedName name="Compl_del">'Financial model'!$F$21</definedName>
    <definedName name="Conf_ext">'Financial model'!#REF!</definedName>
    <definedName name="Conf_int">'Financial model'!#REF!</definedName>
    <definedName name="Conf_ongoing">'Financial model'!#REF!</definedName>
    <definedName name="Levels">'Financial model'!$J$11:$K$21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1" i="1" l="1"/>
  <c r="E69" i="1"/>
  <c r="D69" i="1"/>
  <c r="C69" i="1"/>
  <c r="D61" i="1"/>
  <c r="E61" i="1"/>
  <c r="D60" i="1" l="1"/>
  <c r="E60" i="1"/>
  <c r="E66" i="1"/>
  <c r="D66" i="1"/>
  <c r="D64" i="1"/>
  <c r="E64" i="1"/>
  <c r="D51" i="1"/>
  <c r="E51" i="1"/>
  <c r="C51" i="1"/>
  <c r="C64" i="1" l="1"/>
  <c r="K21" i="1" l="1"/>
  <c r="K20" i="1"/>
  <c r="K19" i="1"/>
  <c r="K18" i="1"/>
  <c r="E49" i="1" l="1"/>
  <c r="D49" i="1"/>
  <c r="C49" i="1"/>
  <c r="N44" i="1" l="1"/>
  <c r="M44" i="1"/>
  <c r="L44" i="1"/>
  <c r="K44" i="1"/>
  <c r="J44" i="1"/>
  <c r="N38" i="1"/>
  <c r="M38" i="1"/>
  <c r="L38" i="1"/>
  <c r="K38" i="1"/>
  <c r="N37" i="1"/>
  <c r="M37" i="1"/>
  <c r="L37" i="1"/>
  <c r="K37" i="1"/>
  <c r="J38" i="1"/>
  <c r="J37" i="1"/>
  <c r="C60" i="1" l="1"/>
  <c r="H59" i="1" s="1"/>
  <c r="K74" i="1" l="1"/>
  <c r="K73" i="1"/>
  <c r="K17" i="1"/>
  <c r="K16" i="1"/>
  <c r="K15" i="1"/>
  <c r="K14" i="1"/>
  <c r="K13" i="1"/>
  <c r="K12" i="1"/>
  <c r="K11" i="1"/>
  <c r="K43" i="1" l="1"/>
  <c r="N43" i="1"/>
  <c r="J43" i="1"/>
  <c r="L43" i="1"/>
  <c r="M43" i="1"/>
  <c r="L34" i="1"/>
  <c r="K34" i="1"/>
  <c r="J34" i="1"/>
  <c r="M34" i="1"/>
  <c r="N34" i="1"/>
  <c r="L35" i="1"/>
  <c r="N35" i="1"/>
  <c r="M35" i="1"/>
  <c r="H60" i="1" l="1"/>
  <c r="C66" i="1" l="1"/>
  <c r="K35" i="1"/>
  <c r="H62" i="1" l="1"/>
  <c r="J35" i="1"/>
  <c r="G77" i="1" l="1"/>
  <c r="F77" i="1"/>
  <c r="E77" i="1"/>
  <c r="D77" i="1"/>
  <c r="C77" i="1"/>
  <c r="K76" i="1" l="1"/>
  <c r="K75" i="1"/>
  <c r="H76" i="1" l="1"/>
  <c r="H77" i="1" l="1"/>
  <c r="K36" i="1" l="1"/>
  <c r="L36" i="1"/>
  <c r="M36" i="1"/>
  <c r="N36" i="1"/>
  <c r="M33" i="1"/>
  <c r="N32" i="1"/>
  <c r="J33" i="1"/>
  <c r="L33" i="1"/>
  <c r="M32" i="1"/>
  <c r="J36" i="1"/>
  <c r="N33" i="1"/>
  <c r="K33" i="1"/>
  <c r="L32" i="1"/>
  <c r="K32" i="1"/>
  <c r="J32" i="1"/>
  <c r="D65" i="1" l="1"/>
  <c r="D53" i="1" s="1"/>
  <c r="E65" i="1"/>
  <c r="C65" i="1"/>
  <c r="C67" i="1" s="1"/>
  <c r="C68" i="1" s="1"/>
  <c r="C53" i="1" l="1"/>
  <c r="H61" i="1"/>
  <c r="D67" i="1"/>
  <c r="D68" i="1" s="1"/>
  <c r="H63" i="1"/>
  <c r="E53" i="1"/>
  <c r="E67" i="1"/>
  <c r="E68" i="1" s="1"/>
  <c r="H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Mikail Ruutu</author>
  </authors>
  <commentList>
    <comment ref="K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Mikail Ruutu:</t>
        </r>
        <r>
          <rPr>
            <sz val="9"/>
            <color indexed="81"/>
            <rFont val="Tahoma"/>
            <family val="2"/>
          </rPr>
          <t xml:space="preserve">
Professional staff. Paypoint 3, as of July 2019. With 27% on-costs.
2% annual increases as per the EBA.</t>
        </r>
      </text>
    </comment>
    <comment ref="B17" authorId="0" shapeId="0" xr:uid="{F7B2E7FB-0DCD-4FF0-8515-67ED4A1BE3B1}">
      <text>
        <r>
          <rPr>
            <sz val="9"/>
            <color indexed="81"/>
            <rFont val="Tahoma"/>
            <family val="2"/>
          </rPr>
          <t>Assumption based on typical 251 - 255 work days a year, less 4 weeks of annual leave, less potential individual days off.</t>
        </r>
      </text>
    </comment>
  </commentList>
</comments>
</file>

<file path=xl/sharedStrings.xml><?xml version="1.0" encoding="utf-8"?>
<sst xmlns="http://schemas.openxmlformats.org/spreadsheetml/2006/main" count="124" uniqueCount="101">
  <si>
    <t>Level</t>
  </si>
  <si>
    <t>Director</t>
  </si>
  <si>
    <t>Do the estimation by entering known data or best guesses in green cells.</t>
  </si>
  <si>
    <t>FINANCIAL BENEFITS</t>
  </si>
  <si>
    <t>Annual cost</t>
  </si>
  <si>
    <t>Other resources (specify)</t>
  </si>
  <si>
    <t>Senior staff HEW 8</t>
  </si>
  <si>
    <t>Senior staff HEW 9</t>
  </si>
  <si>
    <t>Senior staff HEW 10</t>
  </si>
  <si>
    <t>Junior staff HEW 3</t>
  </si>
  <si>
    <t>Junior staff HEW 4</t>
  </si>
  <si>
    <t>Junior staff HEW 5</t>
  </si>
  <si>
    <t>Mid staff HEW 6</t>
  </si>
  <si>
    <t>Mid staff HEW 7</t>
  </si>
  <si>
    <t>National Manager</t>
  </si>
  <si>
    <t>Associate Director</t>
  </si>
  <si>
    <t>Cost 2020</t>
  </si>
  <si>
    <t>Cost 2021</t>
  </si>
  <si>
    <t>Number of weeks</t>
  </si>
  <si>
    <t>Period 1</t>
  </si>
  <si>
    <t>Period 2</t>
  </si>
  <si>
    <t>Period 3</t>
  </si>
  <si>
    <t>Period 4</t>
  </si>
  <si>
    <t>Days /week planned</t>
  </si>
  <si>
    <t>Subtotal</t>
  </si>
  <si>
    <t>Cost 2022</t>
  </si>
  <si>
    <t>Period 5</t>
  </si>
  <si>
    <t>Financial benefits</t>
  </si>
  <si>
    <t>Business Case financial model workbook</t>
  </si>
  <si>
    <t>↓ Copy the section below into the Business Case ↓</t>
  </si>
  <si>
    <t>$ in 2020</t>
  </si>
  <si>
    <t>$ in 2021</t>
  </si>
  <si>
    <t>$ in 2022</t>
  </si>
  <si>
    <t>Permits / licensing (annual cost, $)</t>
  </si>
  <si>
    <t>Professional services / consulting $</t>
  </si>
  <si>
    <t>Permits / licensing (Initial / 1st year cost $)</t>
  </si>
  <si>
    <t>Support / maintenance services $</t>
  </si>
  <si>
    <t>ON-GOING OPERATIONAL COSTS</t>
  </si>
  <si>
    <t>Benefits</t>
  </si>
  <si>
    <t>Total workdays</t>
  </si>
  <si>
    <t>Process / System Owner</t>
  </si>
  <si>
    <t>Staff load (workdays /year)</t>
  </si>
  <si>
    <t>Financial benefits / revenue (positive impact) $</t>
  </si>
  <si>
    <t>$ in 2023</t>
  </si>
  <si>
    <t>Cost 2023</t>
  </si>
  <si>
    <t>↓ Enter the input in the green cells in this section ↓</t>
  </si>
  <si>
    <t>Estimate the number of workdays required</t>
  </si>
  <si>
    <t>$ in 2024</t>
  </si>
  <si>
    <t>↓ Copy the section below into the Proposal for Business Change ↓</t>
  </si>
  <si>
    <t>HOW TO COMPLETE THIS?</t>
  </si>
  <si>
    <t>Delivery</t>
  </si>
  <si>
    <t>Best case</t>
  </si>
  <si>
    <t>Projected</t>
  </si>
  <si>
    <t>Worst case</t>
  </si>
  <si>
    <t>Value of benefits (total)</t>
  </si>
  <si>
    <t>Implementation cost (capex)</t>
  </si>
  <si>
    <t>Implementation cost (opex)</t>
  </si>
  <si>
    <t>Financial return</t>
  </si>
  <si>
    <t>Cost 2024</t>
  </si>
  <si>
    <t>INTERNAL COSTS (opex)</t>
  </si>
  <si>
    <t>EXTERNAL COSTS (capex)</t>
  </si>
  <si>
    <t>CONVERSION OF WORKDAYS TO COST</t>
  </si>
  <si>
    <t>Copy to section 'Financial Model'</t>
  </si>
  <si>
    <t>Copy to 'Executive Summary'</t>
  </si>
  <si>
    <r>
      <t>Implementation cost</t>
    </r>
    <r>
      <rPr>
        <sz val="8"/>
        <rFont val="Arial"/>
        <family val="2"/>
      </rPr>
      <t xml:space="preserve"> (capex)</t>
    </r>
  </si>
  <si>
    <r>
      <t xml:space="preserve">Implementation cost </t>
    </r>
    <r>
      <rPr>
        <sz val="8"/>
        <rFont val="Arial"/>
        <family val="2"/>
      </rPr>
      <t>(opex)</t>
    </r>
  </si>
  <si>
    <t>Operational &amp; overhead cost</t>
  </si>
  <si>
    <t>Total cost</t>
  </si>
  <si>
    <t>Operational and overhead cost</t>
  </si>
  <si>
    <r>
      <t xml:space="preserve">EXPENSES </t>
    </r>
    <r>
      <rPr>
        <sz val="9"/>
        <rFont val="Arial"/>
        <family val="2"/>
      </rPr>
      <t>(through 2024)</t>
    </r>
  </si>
  <si>
    <t>Simple</t>
  </si>
  <si>
    <t>Medium</t>
  </si>
  <si>
    <t>Complex</t>
  </si>
  <si>
    <t>Complexity</t>
  </si>
  <si>
    <t>Cost</t>
  </si>
  <si>
    <r>
      <t xml:space="preserve">1) Complete the </t>
    </r>
    <r>
      <rPr>
        <b/>
        <sz val="12"/>
        <color theme="1"/>
        <rFont val="Arial"/>
        <family val="2"/>
      </rPr>
      <t>Project Complexity Assessment</t>
    </r>
    <r>
      <rPr>
        <sz val="12"/>
        <color theme="1"/>
        <rFont val="Arial"/>
        <family val="2"/>
      </rPr>
      <t>. The results from it will be used as input to the financial model.</t>
    </r>
  </si>
  <si>
    <t>Salary levels (Jul 2019):</t>
  </si>
  <si>
    <t>Other teams in ACU</t>
  </si>
  <si>
    <t>Project Manager / coordinator</t>
  </si>
  <si>
    <t>Senior stakeholders</t>
  </si>
  <si>
    <t>SME's</t>
  </si>
  <si>
    <t>An additional tool for calculating the number of workdays used for an activity. Use as needed.</t>
  </si>
  <si>
    <r>
      <t xml:space="preserve">3) Enter the </t>
    </r>
    <r>
      <rPr>
        <b/>
        <sz val="12"/>
        <color theme="1"/>
        <rFont val="Arial"/>
        <family val="2"/>
      </rPr>
      <t>complexity assessment results</t>
    </r>
    <r>
      <rPr>
        <sz val="12"/>
        <color theme="1"/>
        <rFont val="Arial"/>
        <family val="2"/>
      </rPr>
      <t xml:space="preserve"> in the green section below (row 21).</t>
    </r>
  </si>
  <si>
    <r>
      <t xml:space="preserve">2) Enter your </t>
    </r>
    <r>
      <rPr>
        <b/>
        <sz val="12"/>
        <color theme="1"/>
        <rFont val="Arial"/>
        <family val="2"/>
      </rPr>
      <t>best case estimate</t>
    </r>
    <r>
      <rPr>
        <sz val="12"/>
        <color theme="1"/>
        <rFont val="Arial"/>
        <family val="2"/>
      </rPr>
      <t xml:space="preserve"> for the project costs and financial benefits in the green cells below (rows 21-44).</t>
    </r>
  </si>
  <si>
    <r>
      <t xml:space="preserve">4) </t>
    </r>
    <r>
      <rPr>
        <b/>
        <sz val="12"/>
        <color theme="1"/>
        <rFont val="Arial"/>
        <family val="2"/>
      </rPr>
      <t>Copy the financial summary</t>
    </r>
    <r>
      <rPr>
        <sz val="12"/>
        <color theme="1"/>
        <rFont val="Arial"/>
        <family val="2"/>
      </rPr>
      <t xml:space="preserve"> to your Proposal for Business Change (from row 48) or two sections to the Business Case (from row 59).</t>
    </r>
  </si>
  <si>
    <t>5) For the Business Case, copy the green section (from row 21) to Appendix 1.</t>
  </si>
  <si>
    <t>A full work year assumes 231 workdays or 21 days * 11 months.</t>
  </si>
  <si>
    <t>Notice that the first estimate is done for the initial Proposal when the benefits and costs can be estimated only as a magnitude ("ballpark").
The analysis done for the Business Case will refine this much further and help to produce figures with medium or high degree of confidence.</t>
  </si>
  <si>
    <t>Do the estimations on rows 23 to 44 by entering the respective data in green-coloured cells. The resulting financial model is on rows 48 to 69.</t>
  </si>
  <si>
    <t>This workbook supports the development of a simple financial model for Proposals for Business Change, and Business Cases.</t>
  </si>
  <si>
    <t>The relevant sections are copied from here into the Business Case.</t>
  </si>
  <si>
    <t>PLEASE NOTE</t>
  </si>
  <si>
    <t>Copy area B59:E69</t>
  </si>
  <si>
    <t>Copy area G59:H64</t>
  </si>
  <si>
    <t>Copy area B53:E58</t>
  </si>
  <si>
    <t>This section is also copied into the Business Case and PID, Appendix 1</t>
  </si>
  <si>
    <t>Other resources - IT Sol architect, integration</t>
  </si>
  <si>
    <t>IT specialist staff cost</t>
  </si>
  <si>
    <t>Achievability</t>
  </si>
  <si>
    <t>Achievability of benefits</t>
  </si>
  <si>
    <t>Achievability of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</si>
</sst>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rgb="FFC00000"/>
      <name val="Arial"/>
      <family val="2"/>
    </font>
    <font>
      <sz val="9"/>
      <color rgb="FF3D3935"/>
      <name val="Arial"/>
      <family val="2"/>
    </font>
    <font>
      <b/>
      <sz val="9"/>
      <color rgb="FF3D393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3D3935"/>
      <name val="Arial"/>
      <family val="2"/>
    </font>
    <font>
      <sz val="8"/>
      <name val="Arial"/>
      <family val="2"/>
    </font>
    <font>
      <b/>
      <sz val="10"/>
      <color rgb="FF3D3935"/>
      <name val="Arial"/>
      <family val="2"/>
    </font>
    <font>
      <sz val="12"/>
      <color rgb="FF3D3935"/>
      <name val="Arial"/>
      <family val="2"/>
    </font>
    <font>
      <b/>
      <sz val="18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6CDBF"/>
        <bgColor indexed="64"/>
      </patternFill>
    </fill>
    <fill>
      <patternFill patternType="solid">
        <fgColor rgb="FFE8E3D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theme="0" tint="-0.24994659260841701"/>
      </right>
      <top style="medium">
        <color indexed="64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indexed="64"/>
      </top>
      <bottom/>
      <diagonal/>
    </border>
    <border>
      <left style="medium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theme="0" tint="-0.24994659260841701"/>
      </right>
      <top/>
      <bottom style="medium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indexed="64"/>
      </bottom>
      <diagonal/>
    </border>
    <border>
      <left style="medium">
        <color theme="0" tint="-0.2499465926084170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3" fillId="5" borderId="0" xfId="0" applyFont="1" applyFill="1"/>
    <xf numFmtId="0" fontId="3" fillId="3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1" fontId="3" fillId="5" borderId="13" xfId="0" applyNumberFormat="1" applyFont="1" applyFill="1" applyBorder="1" applyAlignment="1">
      <alignment horizontal="center"/>
    </xf>
    <xf numFmtId="1" fontId="3" fillId="5" borderId="14" xfId="0" applyNumberFormat="1" applyFont="1" applyFill="1" applyBorder="1" applyAlignment="1">
      <alignment horizontal="center"/>
    </xf>
    <xf numFmtId="1" fontId="3" fillId="5" borderId="15" xfId="0" applyNumberFormat="1" applyFont="1" applyFill="1" applyBorder="1" applyAlignment="1">
      <alignment horizontal="center"/>
    </xf>
    <xf numFmtId="1" fontId="4" fillId="9" borderId="15" xfId="0" applyNumberFormat="1" applyFont="1" applyFill="1" applyBorder="1" applyAlignment="1">
      <alignment horizontal="center"/>
    </xf>
    <xf numFmtId="0" fontId="4" fillId="6" borderId="0" xfId="0" applyFont="1" applyFill="1"/>
    <xf numFmtId="0" fontId="3" fillId="6" borderId="0" xfId="0" applyFont="1" applyFill="1"/>
    <xf numFmtId="164" fontId="3" fillId="6" borderId="0" xfId="0" applyNumberFormat="1" applyFont="1" applyFill="1"/>
    <xf numFmtId="6" fontId="3" fillId="3" borderId="0" xfId="0" applyNumberFormat="1" applyFont="1" applyFill="1"/>
    <xf numFmtId="6" fontId="3" fillId="0" borderId="0" xfId="0" applyNumberFormat="1" applyFont="1" applyFill="1"/>
    <xf numFmtId="164" fontId="7" fillId="6" borderId="0" xfId="0" applyNumberFormat="1" applyFont="1" applyFill="1"/>
    <xf numFmtId="164" fontId="3" fillId="0" borderId="0" xfId="0" applyNumberFormat="1" applyFont="1"/>
    <xf numFmtId="0" fontId="4" fillId="8" borderId="0" xfId="0" applyFont="1" applyFill="1" applyAlignment="1">
      <alignment horizontal="left"/>
    </xf>
    <xf numFmtId="0" fontId="4" fillId="8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4" fillId="5" borderId="0" xfId="0" applyFont="1" applyFill="1" applyAlignment="1">
      <alignment horizontal="left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3" fillId="7" borderId="2" xfId="0" applyNumberFormat="1" applyFont="1" applyFill="1" applyBorder="1" applyAlignment="1" applyProtection="1">
      <alignment horizontal="center" vertical="center"/>
      <protection locked="0"/>
    </xf>
    <xf numFmtId="1" fontId="3" fillId="4" borderId="3" xfId="0" applyNumberFormat="1" applyFont="1" applyFill="1" applyBorder="1" applyAlignment="1" applyProtection="1">
      <alignment horizontal="center" vertical="center"/>
      <protection locked="0"/>
    </xf>
    <xf numFmtId="1" fontId="3" fillId="7" borderId="3" xfId="0" applyNumberFormat="1" applyFont="1" applyFill="1" applyBorder="1" applyAlignment="1" applyProtection="1">
      <alignment horizontal="center" vertical="center"/>
      <protection locked="0"/>
    </xf>
    <xf numFmtId="1" fontId="3" fillId="7" borderId="4" xfId="0" applyNumberFormat="1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1" fontId="3" fillId="7" borderId="5" xfId="0" applyNumberFormat="1" applyFont="1" applyFill="1" applyBorder="1" applyAlignment="1" applyProtection="1">
      <alignment horizontal="center" vertical="center"/>
      <protection locked="0"/>
    </xf>
    <xf numFmtId="1" fontId="3" fillId="4" borderId="0" xfId="0" applyNumberFormat="1" applyFont="1" applyFill="1" applyBorder="1" applyAlignment="1" applyProtection="1">
      <alignment horizontal="center" vertical="center"/>
      <protection locked="0"/>
    </xf>
    <xf numFmtId="1" fontId="3" fillId="7" borderId="0" xfId="0" applyNumberFormat="1" applyFont="1" applyFill="1" applyBorder="1" applyAlignment="1" applyProtection="1">
      <alignment horizontal="center" vertical="center"/>
      <protection locked="0"/>
    </xf>
    <xf numFmtId="1" fontId="3" fillId="7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vertical="center"/>
      <protection locked="0"/>
    </xf>
    <xf numFmtId="1" fontId="3" fillId="7" borderId="7" xfId="0" applyNumberFormat="1" applyFont="1" applyFill="1" applyBorder="1" applyAlignment="1" applyProtection="1">
      <alignment horizontal="center" vertical="center"/>
      <protection locked="0"/>
    </xf>
    <xf numFmtId="1" fontId="3" fillId="4" borderId="8" xfId="0" applyNumberFormat="1" applyFont="1" applyFill="1" applyBorder="1" applyAlignment="1" applyProtection="1">
      <alignment horizontal="center" vertical="center"/>
      <protection locked="0"/>
    </xf>
    <xf numFmtId="1" fontId="3" fillId="7" borderId="8" xfId="0" applyNumberFormat="1" applyFont="1" applyFill="1" applyBorder="1" applyAlignment="1" applyProtection="1">
      <alignment horizontal="center" vertical="center"/>
      <protection locked="0"/>
    </xf>
    <xf numFmtId="1" fontId="3" fillId="7" borderId="9" xfId="0" applyNumberFormat="1" applyFont="1" applyFill="1" applyBorder="1" applyAlignment="1" applyProtection="1">
      <alignment horizontal="center" vertical="center"/>
      <protection locked="0"/>
    </xf>
    <xf numFmtId="0" fontId="3" fillId="4" borderId="12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6" fontId="3" fillId="7" borderId="2" xfId="0" applyNumberFormat="1" applyFont="1" applyFill="1" applyBorder="1" applyAlignment="1" applyProtection="1">
      <alignment horizontal="center" vertical="center"/>
      <protection locked="0"/>
    </xf>
    <xf numFmtId="6" fontId="3" fillId="4" borderId="3" xfId="0" applyNumberFormat="1" applyFont="1" applyFill="1" applyBorder="1" applyAlignment="1" applyProtection="1">
      <alignment horizontal="center" vertical="center"/>
      <protection locked="0"/>
    </xf>
    <xf numFmtId="6" fontId="3" fillId="7" borderId="3" xfId="0" applyNumberFormat="1" applyFont="1" applyFill="1" applyBorder="1" applyAlignment="1" applyProtection="1">
      <alignment horizontal="center" vertical="center"/>
      <protection locked="0"/>
    </xf>
    <xf numFmtId="6" fontId="3" fillId="7" borderId="4" xfId="0" applyNumberFormat="1" applyFont="1" applyFill="1" applyBorder="1" applyAlignment="1" applyProtection="1">
      <alignment horizontal="center" vertical="center"/>
      <protection locked="0"/>
    </xf>
    <xf numFmtId="6" fontId="3" fillId="7" borderId="5" xfId="0" applyNumberFormat="1" applyFont="1" applyFill="1" applyBorder="1" applyAlignment="1" applyProtection="1">
      <alignment horizontal="center" vertical="center"/>
      <protection locked="0"/>
    </xf>
    <xf numFmtId="6" fontId="3" fillId="4" borderId="0" xfId="0" applyNumberFormat="1" applyFont="1" applyFill="1" applyBorder="1" applyAlignment="1" applyProtection="1">
      <alignment horizontal="center" vertical="center"/>
      <protection locked="0"/>
    </xf>
    <xf numFmtId="6" fontId="3" fillId="7" borderId="0" xfId="0" applyNumberFormat="1" applyFont="1" applyFill="1" applyBorder="1" applyAlignment="1" applyProtection="1">
      <alignment horizontal="center" vertical="center"/>
      <protection locked="0"/>
    </xf>
    <xf numFmtId="6" fontId="3" fillId="7" borderId="6" xfId="0" applyNumberFormat="1" applyFont="1" applyFill="1" applyBorder="1" applyAlignment="1" applyProtection="1">
      <alignment horizontal="center" vertical="center"/>
      <protection locked="0"/>
    </xf>
    <xf numFmtId="6" fontId="3" fillId="7" borderId="7" xfId="0" applyNumberFormat="1" applyFont="1" applyFill="1" applyBorder="1" applyAlignment="1" applyProtection="1">
      <alignment horizontal="center" vertical="center"/>
      <protection locked="0"/>
    </xf>
    <xf numFmtId="6" fontId="3" fillId="4" borderId="8" xfId="0" applyNumberFormat="1" applyFont="1" applyFill="1" applyBorder="1" applyAlignment="1" applyProtection="1">
      <alignment horizontal="center" vertical="center"/>
      <protection locked="0"/>
    </xf>
    <xf numFmtId="6" fontId="3" fillId="7" borderId="8" xfId="0" applyNumberFormat="1" applyFont="1" applyFill="1" applyBorder="1" applyAlignment="1" applyProtection="1">
      <alignment horizontal="center" vertical="center"/>
      <protection locked="0"/>
    </xf>
    <xf numFmtId="6" fontId="3" fillId="7" borderId="9" xfId="0" applyNumberFormat="1" applyFont="1" applyFill="1" applyBorder="1" applyAlignment="1" applyProtection="1">
      <alignment horizontal="center" vertical="center"/>
      <protection locked="0"/>
    </xf>
    <xf numFmtId="0" fontId="3" fillId="7" borderId="5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NumberFormat="1" applyFont="1" applyFill="1" applyBorder="1" applyAlignment="1" applyProtection="1">
      <alignment horizontal="center" vertical="center"/>
      <protection locked="0"/>
    </xf>
    <xf numFmtId="0" fontId="3" fillId="7" borderId="0" xfId="0" applyNumberFormat="1" applyFont="1" applyFill="1" applyBorder="1" applyAlignment="1" applyProtection="1">
      <alignment horizontal="center" vertical="center"/>
      <protection locked="0"/>
    </xf>
    <xf numFmtId="0" fontId="3" fillId="7" borderId="6" xfId="0" applyNumberFormat="1" applyFont="1" applyFill="1" applyBorder="1" applyAlignment="1" applyProtection="1">
      <alignment horizontal="center" vertical="center"/>
      <protection locked="0"/>
    </xf>
    <xf numFmtId="0" fontId="3" fillId="7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8" xfId="0" applyNumberFormat="1" applyFont="1" applyFill="1" applyBorder="1" applyAlignment="1" applyProtection="1">
      <alignment horizontal="center" vertical="center"/>
      <protection locked="0"/>
    </xf>
    <xf numFmtId="0" fontId="3" fillId="7" borderId="8" xfId="0" applyNumberFormat="1" applyFont="1" applyFill="1" applyBorder="1" applyAlignment="1" applyProtection="1">
      <alignment horizontal="center" vertical="center"/>
      <protection locked="0"/>
    </xf>
    <xf numFmtId="0" fontId="3" fillId="7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/>
    <xf numFmtId="0" fontId="5" fillId="2" borderId="0" xfId="0" applyFont="1" applyFill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left"/>
    </xf>
    <xf numFmtId="9" fontId="3" fillId="0" borderId="1" xfId="0" applyNumberFormat="1" applyFont="1" applyBorder="1" applyAlignment="1">
      <alignment horizontal="center"/>
    </xf>
    <xf numFmtId="0" fontId="10" fillId="10" borderId="16" xfId="0" applyFont="1" applyFill="1" applyBorder="1" applyAlignment="1">
      <alignment horizontal="center" vertical="center" wrapText="1"/>
    </xf>
    <xf numFmtId="0" fontId="10" fillId="10" borderId="17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8" borderId="0" xfId="0" applyFont="1" applyFill="1" applyAlignment="1">
      <alignment horizontal="left"/>
    </xf>
    <xf numFmtId="6" fontId="8" fillId="0" borderId="19" xfId="0" applyNumberFormat="1" applyFont="1" applyBorder="1" applyAlignment="1">
      <alignment horizontal="center" vertical="center" wrapText="1"/>
    </xf>
    <xf numFmtId="0" fontId="4" fillId="3" borderId="0" xfId="0" applyFont="1" applyFill="1"/>
    <xf numFmtId="0" fontId="3" fillId="3" borderId="0" xfId="0" applyFont="1" applyFill="1"/>
    <xf numFmtId="0" fontId="3" fillId="0" borderId="0" xfId="0" applyFont="1" applyFill="1"/>
    <xf numFmtId="6" fontId="9" fillId="11" borderId="19" xfId="0" applyNumberFormat="1" applyFont="1" applyFill="1" applyBorder="1" applyAlignment="1">
      <alignment horizontal="center" vertical="center" wrapText="1"/>
    </xf>
    <xf numFmtId="0" fontId="4" fillId="12" borderId="0" xfId="0" applyFont="1" applyFill="1" applyAlignment="1">
      <alignment horizontal="left"/>
    </xf>
    <xf numFmtId="0" fontId="4" fillId="12" borderId="0" xfId="0" applyFont="1" applyFill="1" applyAlignment="1">
      <alignment horizontal="right"/>
    </xf>
    <xf numFmtId="0" fontId="3" fillId="12" borderId="0" xfId="0" applyFont="1" applyFill="1" applyAlignment="1">
      <alignment horizontal="right"/>
    </xf>
    <xf numFmtId="9" fontId="3" fillId="0" borderId="0" xfId="0" applyNumberFormat="1" applyFont="1" applyBorder="1" applyAlignment="1">
      <alignment horizontal="center"/>
    </xf>
    <xf numFmtId="6" fontId="3" fillId="7" borderId="13" xfId="0" applyNumberFormat="1" applyFont="1" applyFill="1" applyBorder="1" applyAlignment="1" applyProtection="1">
      <alignment horizontal="center" vertical="center"/>
      <protection locked="0"/>
    </xf>
    <xf numFmtId="6" fontId="3" fillId="4" borderId="14" xfId="0" applyNumberFormat="1" applyFont="1" applyFill="1" applyBorder="1" applyAlignment="1" applyProtection="1">
      <alignment horizontal="center" vertical="center"/>
      <protection locked="0"/>
    </xf>
    <xf numFmtId="6" fontId="3" fillId="7" borderId="14" xfId="0" applyNumberFormat="1" applyFont="1" applyFill="1" applyBorder="1" applyAlignment="1" applyProtection="1">
      <alignment horizontal="center" vertical="center"/>
      <protection locked="0"/>
    </xf>
    <xf numFmtId="6" fontId="3" fillId="7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/>
    </xf>
    <xf numFmtId="0" fontId="12" fillId="10" borderId="16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6" fontId="9" fillId="0" borderId="19" xfId="0" applyNumberFormat="1" applyFont="1" applyBorder="1" applyAlignment="1">
      <alignment horizontal="center" vertical="center" wrapText="1"/>
    </xf>
    <xf numFmtId="0" fontId="11" fillId="10" borderId="20" xfId="0" applyFont="1" applyFill="1" applyBorder="1" applyAlignment="1">
      <alignment vertical="center" wrapText="1"/>
    </xf>
    <xf numFmtId="6" fontId="8" fillId="0" borderId="21" xfId="0" applyNumberFormat="1" applyFont="1" applyBorder="1" applyAlignment="1">
      <alignment horizontal="center" vertical="center" wrapText="1"/>
    </xf>
    <xf numFmtId="0" fontId="11" fillId="10" borderId="22" xfId="0" applyFont="1" applyFill="1" applyBorder="1" applyAlignment="1">
      <alignment vertical="center" wrapText="1"/>
    </xf>
    <xf numFmtId="6" fontId="8" fillId="0" borderId="23" xfId="0" applyNumberFormat="1" applyFont="1" applyBorder="1" applyAlignment="1">
      <alignment horizontal="center" vertical="center" wrapText="1"/>
    </xf>
    <xf numFmtId="0" fontId="11" fillId="10" borderId="24" xfId="0" applyFont="1" applyFill="1" applyBorder="1" applyAlignment="1">
      <alignment vertical="center" wrapText="1"/>
    </xf>
    <xf numFmtId="6" fontId="8" fillId="0" borderId="25" xfId="0" applyNumberFormat="1" applyFont="1" applyBorder="1" applyAlignment="1">
      <alignment horizontal="center" vertical="center" wrapText="1"/>
    </xf>
    <xf numFmtId="6" fontId="13" fillId="0" borderId="17" xfId="0" applyNumberFormat="1" applyFont="1" applyBorder="1" applyAlignment="1">
      <alignment horizontal="center" vertical="center" wrapText="1"/>
    </xf>
    <xf numFmtId="6" fontId="15" fillId="11" borderId="19" xfId="0" applyNumberFormat="1" applyFont="1" applyFill="1" applyBorder="1" applyAlignment="1">
      <alignment horizontal="center" vertical="center" wrapText="1"/>
    </xf>
    <xf numFmtId="0" fontId="12" fillId="10" borderId="20" xfId="0" applyFont="1" applyFill="1" applyBorder="1" applyAlignment="1">
      <alignment horizontal="center" vertical="center" wrapText="1"/>
    </xf>
    <xf numFmtId="6" fontId="13" fillId="0" borderId="21" xfId="0" applyNumberFormat="1" applyFont="1" applyBorder="1" applyAlignment="1">
      <alignment horizontal="center" vertical="center" wrapText="1"/>
    </xf>
    <xf numFmtId="0" fontId="12" fillId="10" borderId="22" xfId="0" applyFont="1" applyFill="1" applyBorder="1" applyAlignment="1">
      <alignment horizontal="center" vertical="center" wrapText="1"/>
    </xf>
    <xf numFmtId="6" fontId="13" fillId="0" borderId="23" xfId="0" applyNumberFormat="1" applyFont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6" fontId="13" fillId="0" borderId="25" xfId="0" applyNumberFormat="1" applyFont="1" applyBorder="1" applyAlignment="1">
      <alignment horizontal="center" vertical="center" wrapText="1"/>
    </xf>
    <xf numFmtId="0" fontId="16" fillId="13" borderId="27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13" borderId="28" xfId="0" applyFont="1" applyFill="1" applyBorder="1" applyAlignment="1">
      <alignment horizontal="center" vertical="center" wrapText="1"/>
    </xf>
    <xf numFmtId="0" fontId="16" fillId="13" borderId="29" xfId="0" applyFont="1" applyFill="1" applyBorder="1" applyAlignment="1">
      <alignment horizontal="center" vertical="center" wrapText="1"/>
    </xf>
    <xf numFmtId="6" fontId="16" fillId="0" borderId="19" xfId="0" applyNumberFormat="1" applyFont="1" applyBorder="1" applyAlignment="1">
      <alignment horizontal="center" vertical="center" wrapText="1"/>
    </xf>
    <xf numFmtId="0" fontId="16" fillId="13" borderId="30" xfId="0" applyFont="1" applyFill="1" applyBorder="1" applyAlignment="1">
      <alignment horizontal="center" vertical="center" wrapText="1"/>
    </xf>
    <xf numFmtId="0" fontId="16" fillId="13" borderId="31" xfId="0" applyFont="1" applyFill="1" applyBorder="1" applyAlignment="1">
      <alignment horizontal="center" vertical="center" wrapText="1"/>
    </xf>
    <xf numFmtId="0" fontId="16" fillId="13" borderId="32" xfId="0" applyFont="1" applyFill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164" fontId="3" fillId="0" borderId="0" xfId="0" applyNumberFormat="1" applyFont="1" applyFill="1"/>
    <xf numFmtId="0" fontId="3" fillId="14" borderId="0" xfId="0" applyFont="1" applyFill="1"/>
    <xf numFmtId="0" fontId="3" fillId="14" borderId="0" xfId="0" applyFont="1" applyFill="1" applyAlignment="1">
      <alignment horizontal="right"/>
    </xf>
    <xf numFmtId="0" fontId="3" fillId="8" borderId="0" xfId="0" applyFont="1" applyFill="1" applyAlignment="1">
      <alignment horizontal="right"/>
    </xf>
    <xf numFmtId="0" fontId="17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/>
    <xf numFmtId="0" fontId="0" fillId="0" borderId="0" xfId="0" applyAlignment="1"/>
    <xf numFmtId="0" fontId="11" fillId="10" borderId="26" xfId="0" applyFont="1" applyFill="1" applyBorder="1" applyAlignment="1">
      <alignment vertical="center" wrapText="1"/>
    </xf>
    <xf numFmtId="0" fontId="11" fillId="10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39B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77"/>
  <sheetViews>
    <sheetView showGridLines="0" tabSelected="1" zoomScaleNormal="100" workbookViewId="0"/>
  </sheetViews>
  <sheetFormatPr defaultRowHeight="15" x14ac:dyDescent="0.2"/>
  <cols>
    <col min="1" max="1" width="9.140625" style="1"/>
    <col min="2" max="2" width="50.7109375" style="1" customWidth="1"/>
    <col min="3" max="7" width="15.7109375" style="2" customWidth="1"/>
    <col min="8" max="8" width="22.7109375" style="2" customWidth="1"/>
    <col min="9" max="9" width="12.7109375" style="1" hidden="1" customWidth="1"/>
    <col min="10" max="10" width="22.7109375" style="1" hidden="1" customWidth="1"/>
    <col min="11" max="14" width="12.7109375" style="1" hidden="1" customWidth="1"/>
    <col min="15" max="16" width="10.7109375" style="1" customWidth="1"/>
    <col min="17" max="16384" width="9.140625" style="1"/>
  </cols>
  <sheetData>
    <row r="1" spans="2:11" ht="23.25" x14ac:dyDescent="0.35">
      <c r="D1" s="124" t="s">
        <v>28</v>
      </c>
    </row>
    <row r="3" spans="2:11" x14ac:dyDescent="0.2">
      <c r="B3" s="1" t="s">
        <v>89</v>
      </c>
    </row>
    <row r="4" spans="2:11" x14ac:dyDescent="0.2">
      <c r="B4" s="1" t="s">
        <v>88</v>
      </c>
    </row>
    <row r="5" spans="2:11" x14ac:dyDescent="0.2">
      <c r="B5" s="1" t="s">
        <v>90</v>
      </c>
    </row>
    <row r="6" spans="2:11" x14ac:dyDescent="0.2">
      <c r="J6" s="81"/>
      <c r="K6" s="120"/>
    </row>
    <row r="7" spans="2:11" ht="15.75" x14ac:dyDescent="0.25">
      <c r="B7" s="3" t="s">
        <v>49</v>
      </c>
      <c r="C7" s="69"/>
      <c r="D7" s="4"/>
      <c r="E7" s="4"/>
      <c r="F7" s="4"/>
      <c r="G7" s="4"/>
      <c r="H7" s="5"/>
      <c r="J7" s="81"/>
      <c r="K7" s="120"/>
    </row>
    <row r="8" spans="2:11" ht="15.75" x14ac:dyDescent="0.25">
      <c r="B8" s="128" t="s">
        <v>75</v>
      </c>
      <c r="C8" s="129"/>
      <c r="D8" s="129"/>
      <c r="E8" s="129"/>
      <c r="F8" s="129"/>
      <c r="G8" s="129"/>
      <c r="H8" s="129"/>
      <c r="J8" s="81"/>
      <c r="K8" s="120"/>
    </row>
    <row r="9" spans="2:11" ht="15.75" x14ac:dyDescent="0.25">
      <c r="B9" s="128" t="s">
        <v>83</v>
      </c>
      <c r="C9" s="129"/>
      <c r="D9" s="129"/>
      <c r="E9" s="129"/>
      <c r="F9" s="129"/>
      <c r="G9" s="129"/>
      <c r="H9" s="129"/>
      <c r="J9" s="121"/>
      <c r="K9" s="122" t="s">
        <v>76</v>
      </c>
    </row>
    <row r="10" spans="2:11" ht="15.75" x14ac:dyDescent="0.25">
      <c r="B10" s="128" t="s">
        <v>82</v>
      </c>
      <c r="C10" s="129"/>
      <c r="D10" s="129"/>
      <c r="E10" s="129"/>
      <c r="F10" s="129"/>
      <c r="G10" s="129"/>
      <c r="H10" s="129"/>
      <c r="J10" s="15" t="s">
        <v>0</v>
      </c>
      <c r="K10" s="15" t="s">
        <v>4</v>
      </c>
    </row>
    <row r="11" spans="2:11" ht="15.75" x14ac:dyDescent="0.25">
      <c r="B11" s="128" t="s">
        <v>84</v>
      </c>
      <c r="C11" s="129"/>
      <c r="D11" s="129"/>
      <c r="E11" s="129"/>
      <c r="F11" s="129"/>
      <c r="G11" s="129"/>
      <c r="H11" s="129"/>
      <c r="J11" s="16" t="s">
        <v>9</v>
      </c>
      <c r="K11" s="17">
        <f>1.27*59928</f>
        <v>76108.56</v>
      </c>
    </row>
    <row r="12" spans="2:11" ht="15.75" x14ac:dyDescent="0.25">
      <c r="B12" s="70" t="s">
        <v>85</v>
      </c>
      <c r="C12" s="68"/>
      <c r="D12" s="68"/>
      <c r="E12" s="68"/>
      <c r="F12" s="68"/>
      <c r="G12" s="68"/>
      <c r="H12" s="68"/>
      <c r="J12" s="16" t="s">
        <v>10</v>
      </c>
      <c r="K12" s="17">
        <f>1.27*66592</f>
        <v>84571.839999999997</v>
      </c>
    </row>
    <row r="13" spans="2:11" x14ac:dyDescent="0.2">
      <c r="J13" s="16" t="s">
        <v>11</v>
      </c>
      <c r="K13" s="17">
        <f>1.27*74396</f>
        <v>94482.92</v>
      </c>
    </row>
    <row r="14" spans="2:11" ht="15.75" x14ac:dyDescent="0.25">
      <c r="B14" s="3" t="s">
        <v>91</v>
      </c>
      <c r="C14" s="69"/>
      <c r="D14" s="4"/>
      <c r="E14" s="4"/>
      <c r="F14" s="4"/>
      <c r="G14" s="4"/>
      <c r="H14" s="5"/>
      <c r="J14" s="16" t="s">
        <v>12</v>
      </c>
      <c r="K14" s="17">
        <f>1.27*82702</f>
        <v>105031.54000000001</v>
      </c>
    </row>
    <row r="15" spans="2:11" ht="20.100000000000001" customHeight="1" x14ac:dyDescent="0.2">
      <c r="B15" s="125" t="s">
        <v>2</v>
      </c>
      <c r="C15" s="125"/>
      <c r="D15" s="125"/>
      <c r="E15" s="125"/>
      <c r="F15" s="125"/>
      <c r="G15" s="125"/>
      <c r="H15" s="125"/>
      <c r="J15" s="16" t="s">
        <v>13</v>
      </c>
      <c r="K15" s="17">
        <f>1.27*91932</f>
        <v>116753.64</v>
      </c>
    </row>
    <row r="16" spans="2:11" ht="30" customHeight="1" x14ac:dyDescent="0.2">
      <c r="B16" s="126" t="s">
        <v>87</v>
      </c>
      <c r="C16" s="126"/>
      <c r="D16" s="126"/>
      <c r="E16" s="126"/>
      <c r="F16" s="126"/>
      <c r="G16" s="126"/>
      <c r="H16" s="126"/>
      <c r="J16" s="16" t="s">
        <v>6</v>
      </c>
      <c r="K16" s="17">
        <f>1.27*104831</f>
        <v>133135.37</v>
      </c>
    </row>
    <row r="17" spans="2:17" ht="20.100000000000001" customHeight="1" x14ac:dyDescent="0.2">
      <c r="B17" s="126" t="s">
        <v>86</v>
      </c>
      <c r="C17" s="127"/>
      <c r="D17" s="127"/>
      <c r="E17" s="127"/>
      <c r="F17" s="127"/>
      <c r="G17" s="127"/>
      <c r="H17" s="127"/>
      <c r="J17" s="16" t="s">
        <v>7</v>
      </c>
      <c r="K17" s="17">
        <f>1.27*120369</f>
        <v>152868.63</v>
      </c>
    </row>
    <row r="18" spans="2:17" x14ac:dyDescent="0.2">
      <c r="J18" s="16" t="s">
        <v>8</v>
      </c>
      <c r="K18" s="17">
        <f>1.27*140082</f>
        <v>177904.14</v>
      </c>
    </row>
    <row r="19" spans="2:17" ht="15.75" x14ac:dyDescent="0.25">
      <c r="B19" s="83" t="s">
        <v>45</v>
      </c>
      <c r="C19" s="84"/>
      <c r="D19" s="84"/>
      <c r="E19" s="84"/>
      <c r="F19" s="84"/>
      <c r="G19" s="84"/>
      <c r="H19" s="85" t="s">
        <v>95</v>
      </c>
      <c r="J19" s="16" t="s">
        <v>14</v>
      </c>
      <c r="K19" s="20">
        <f>1.27*130000</f>
        <v>165100</v>
      </c>
    </row>
    <row r="20" spans="2:17" x14ac:dyDescent="0.2">
      <c r="J20" s="16" t="s">
        <v>15</v>
      </c>
      <c r="K20" s="20">
        <f>1.27*160000</f>
        <v>203200</v>
      </c>
    </row>
    <row r="21" spans="2:17" x14ac:dyDescent="0.2">
      <c r="B21" s="1" t="s">
        <v>98</v>
      </c>
      <c r="C21" s="72">
        <v>0.9</v>
      </c>
      <c r="D21" s="71" t="s">
        <v>38</v>
      </c>
      <c r="F21" s="72">
        <v>0.9</v>
      </c>
      <c r="G21" s="71" t="s">
        <v>50</v>
      </c>
      <c r="H21" s="71"/>
      <c r="J21" s="16" t="s">
        <v>1</v>
      </c>
      <c r="K21" s="20">
        <f>1.27*200000</f>
        <v>254000</v>
      </c>
    </row>
    <row r="22" spans="2:17" x14ac:dyDescent="0.2">
      <c r="C22" s="86"/>
      <c r="D22" s="71"/>
      <c r="F22" s="86"/>
      <c r="G22" s="71"/>
      <c r="H22" s="71"/>
    </row>
    <row r="23" spans="2:17" ht="15.95" customHeight="1" x14ac:dyDescent="0.2">
      <c r="B23" s="67" t="s">
        <v>3</v>
      </c>
      <c r="C23" s="29" t="s">
        <v>30</v>
      </c>
      <c r="D23" s="29" t="s">
        <v>31</v>
      </c>
      <c r="E23" s="29" t="s">
        <v>32</v>
      </c>
      <c r="F23" s="29" t="s">
        <v>43</v>
      </c>
      <c r="G23" s="29" t="s">
        <v>47</v>
      </c>
      <c r="H23" s="30"/>
    </row>
    <row r="24" spans="2:17" ht="15.95" customHeight="1" x14ac:dyDescent="0.2">
      <c r="B24" s="30" t="s">
        <v>42</v>
      </c>
      <c r="C24" s="87">
        <v>250000</v>
      </c>
      <c r="D24" s="88"/>
      <c r="E24" s="89"/>
      <c r="F24" s="88"/>
      <c r="G24" s="90"/>
      <c r="H24" s="30"/>
      <c r="J24" s="19"/>
      <c r="K24" s="19"/>
      <c r="L24" s="19"/>
      <c r="M24" s="19"/>
      <c r="N24" s="19"/>
      <c r="O24" s="81"/>
    </row>
    <row r="26" spans="2:17" ht="15.95" customHeight="1" x14ac:dyDescent="0.2">
      <c r="B26" s="28" t="s">
        <v>60</v>
      </c>
      <c r="C26" s="29"/>
      <c r="D26" s="29"/>
      <c r="E26" s="29"/>
      <c r="F26" s="29"/>
      <c r="G26" s="29"/>
      <c r="H26" s="30"/>
      <c r="J26" s="19"/>
      <c r="K26" s="19"/>
      <c r="L26" s="19"/>
      <c r="M26" s="19"/>
      <c r="N26" s="19"/>
    </row>
    <row r="27" spans="2:17" ht="15.95" customHeight="1" x14ac:dyDescent="0.2">
      <c r="B27" s="30" t="s">
        <v>34</v>
      </c>
      <c r="C27" s="47"/>
      <c r="D27" s="48"/>
      <c r="E27" s="49"/>
      <c r="F27" s="48"/>
      <c r="G27" s="50"/>
      <c r="H27" s="30"/>
      <c r="J27" s="19"/>
      <c r="K27" s="19"/>
      <c r="L27" s="19"/>
      <c r="M27" s="19"/>
      <c r="N27" s="19"/>
    </row>
    <row r="28" spans="2:17" ht="15.95" customHeight="1" x14ac:dyDescent="0.2">
      <c r="B28" s="30" t="s">
        <v>97</v>
      </c>
      <c r="C28" s="51">
        <v>100000</v>
      </c>
      <c r="D28" s="52"/>
      <c r="E28" s="53"/>
      <c r="F28" s="52"/>
      <c r="G28" s="54"/>
      <c r="H28" s="30"/>
      <c r="K28" s="81"/>
      <c r="L28" s="81"/>
      <c r="M28" s="81"/>
      <c r="N28" s="81"/>
      <c r="O28" s="81"/>
      <c r="Q28" s="21"/>
    </row>
    <row r="29" spans="2:17" ht="15.95" customHeight="1" x14ac:dyDescent="0.25">
      <c r="B29" s="30" t="s">
        <v>35</v>
      </c>
      <c r="C29" s="55"/>
      <c r="D29" s="56"/>
      <c r="E29" s="57"/>
      <c r="F29" s="56"/>
      <c r="G29" s="58"/>
      <c r="H29" s="30"/>
      <c r="J29" s="79" t="s">
        <v>61</v>
      </c>
      <c r="K29" s="80"/>
      <c r="L29" s="80"/>
      <c r="M29" s="80"/>
      <c r="N29" s="80"/>
    </row>
    <row r="30" spans="2:17" x14ac:dyDescent="0.2">
      <c r="J30" s="1">
        <v>0</v>
      </c>
      <c r="K30" s="1">
        <v>1</v>
      </c>
      <c r="L30" s="1">
        <v>2</v>
      </c>
      <c r="M30" s="1">
        <v>3</v>
      </c>
      <c r="N30" s="1">
        <v>4</v>
      </c>
    </row>
    <row r="31" spans="2:17" ht="15.95" customHeight="1" x14ac:dyDescent="0.25">
      <c r="B31" s="28" t="s">
        <v>59</v>
      </c>
      <c r="C31" s="29"/>
      <c r="D31" s="29"/>
      <c r="E31" s="29"/>
      <c r="F31" s="29"/>
      <c r="G31" s="29"/>
      <c r="H31" s="29" t="s">
        <v>0</v>
      </c>
      <c r="J31" s="26" t="s">
        <v>16</v>
      </c>
      <c r="K31" s="26" t="s">
        <v>17</v>
      </c>
      <c r="L31" s="26" t="s">
        <v>25</v>
      </c>
      <c r="M31" s="26" t="s">
        <v>44</v>
      </c>
      <c r="N31" s="26" t="s">
        <v>58</v>
      </c>
    </row>
    <row r="32" spans="2:17" ht="15.95" customHeight="1" x14ac:dyDescent="0.2">
      <c r="B32" s="30" t="s">
        <v>79</v>
      </c>
      <c r="C32" s="31"/>
      <c r="D32" s="32"/>
      <c r="E32" s="33"/>
      <c r="F32" s="32"/>
      <c r="G32" s="34"/>
      <c r="H32" s="35" t="s">
        <v>1</v>
      </c>
      <c r="J32" s="18">
        <f t="shared" ref="J32:J38" si="0">IF($H32&lt;&gt;"",(POWER(1,J$30)*VLOOKUP($H32,Levels,2,FALSE))*(C32/231),0)</f>
        <v>0</v>
      </c>
      <c r="K32" s="18">
        <f t="shared" ref="K32:N38" si="1">IF($H32&lt;&gt;"",(POWER(1.02,K$30)*VLOOKUP($H32,Levels,2,FALSE))*(D32/231),0)</f>
        <v>0</v>
      </c>
      <c r="L32" s="18">
        <f t="shared" si="1"/>
        <v>0</v>
      </c>
      <c r="M32" s="18">
        <f t="shared" si="1"/>
        <v>0</v>
      </c>
      <c r="N32" s="18">
        <f t="shared" si="1"/>
        <v>0</v>
      </c>
    </row>
    <row r="33" spans="2:14" ht="15.95" customHeight="1" x14ac:dyDescent="0.2">
      <c r="B33" s="30" t="s">
        <v>78</v>
      </c>
      <c r="C33" s="36">
        <v>105</v>
      </c>
      <c r="D33" s="37"/>
      <c r="E33" s="38"/>
      <c r="F33" s="37"/>
      <c r="G33" s="39"/>
      <c r="H33" s="40" t="s">
        <v>7</v>
      </c>
      <c r="J33" s="18">
        <f t="shared" si="0"/>
        <v>69485.740909090906</v>
      </c>
      <c r="K33" s="18">
        <f t="shared" si="1"/>
        <v>0</v>
      </c>
      <c r="L33" s="18">
        <f t="shared" si="1"/>
        <v>0</v>
      </c>
      <c r="M33" s="18">
        <f t="shared" si="1"/>
        <v>0</v>
      </c>
      <c r="N33" s="18">
        <f t="shared" si="1"/>
        <v>0</v>
      </c>
    </row>
    <row r="34" spans="2:14" ht="15.95" customHeight="1" x14ac:dyDescent="0.2">
      <c r="B34" s="30" t="s">
        <v>80</v>
      </c>
      <c r="C34" s="36"/>
      <c r="D34" s="37"/>
      <c r="E34" s="38"/>
      <c r="F34" s="37"/>
      <c r="G34" s="39"/>
      <c r="H34" s="40" t="s">
        <v>6</v>
      </c>
      <c r="J34" s="18">
        <f t="shared" si="0"/>
        <v>0</v>
      </c>
      <c r="K34" s="18">
        <f t="shared" si="1"/>
        <v>0</v>
      </c>
      <c r="L34" s="18">
        <f t="shared" si="1"/>
        <v>0</v>
      </c>
      <c r="M34" s="18">
        <f t="shared" si="1"/>
        <v>0</v>
      </c>
      <c r="N34" s="18">
        <f t="shared" si="1"/>
        <v>0</v>
      </c>
    </row>
    <row r="35" spans="2:14" ht="15.95" customHeight="1" x14ac:dyDescent="0.2">
      <c r="B35" s="46" t="s">
        <v>77</v>
      </c>
      <c r="C35" s="36"/>
      <c r="D35" s="37"/>
      <c r="E35" s="38"/>
      <c r="F35" s="37"/>
      <c r="G35" s="39"/>
      <c r="H35" s="40"/>
      <c r="J35" s="18">
        <f t="shared" si="0"/>
        <v>0</v>
      </c>
      <c r="K35" s="18">
        <f t="shared" si="1"/>
        <v>0</v>
      </c>
      <c r="L35" s="18">
        <f t="shared" si="1"/>
        <v>0</v>
      </c>
      <c r="M35" s="18">
        <f t="shared" si="1"/>
        <v>0</v>
      </c>
      <c r="N35" s="18">
        <f t="shared" si="1"/>
        <v>0</v>
      </c>
    </row>
    <row r="36" spans="2:14" ht="15.95" customHeight="1" x14ac:dyDescent="0.2">
      <c r="B36" s="46" t="s">
        <v>40</v>
      </c>
      <c r="C36" s="36"/>
      <c r="D36" s="37"/>
      <c r="E36" s="38"/>
      <c r="F36" s="37"/>
      <c r="G36" s="39"/>
      <c r="H36" s="40"/>
      <c r="J36" s="18">
        <f t="shared" si="0"/>
        <v>0</v>
      </c>
      <c r="K36" s="18">
        <f t="shared" si="1"/>
        <v>0</v>
      </c>
      <c r="L36" s="18">
        <f t="shared" si="1"/>
        <v>0</v>
      </c>
      <c r="M36" s="18">
        <f t="shared" si="1"/>
        <v>0</v>
      </c>
      <c r="N36" s="18">
        <f t="shared" si="1"/>
        <v>0</v>
      </c>
    </row>
    <row r="37" spans="2:14" ht="15.95" customHeight="1" x14ac:dyDescent="0.2">
      <c r="B37" s="30" t="s">
        <v>96</v>
      </c>
      <c r="C37" s="36"/>
      <c r="D37" s="37"/>
      <c r="E37" s="38"/>
      <c r="F37" s="37"/>
      <c r="G37" s="39"/>
      <c r="H37" s="40"/>
      <c r="J37" s="18">
        <f t="shared" si="0"/>
        <v>0</v>
      </c>
      <c r="K37" s="18">
        <f t="shared" si="1"/>
        <v>0</v>
      </c>
      <c r="L37" s="18">
        <f t="shared" si="1"/>
        <v>0</v>
      </c>
      <c r="M37" s="18">
        <f t="shared" si="1"/>
        <v>0</v>
      </c>
      <c r="N37" s="18">
        <f t="shared" si="1"/>
        <v>0</v>
      </c>
    </row>
    <row r="38" spans="2:14" ht="15.95" customHeight="1" x14ac:dyDescent="0.2">
      <c r="B38" s="30" t="s">
        <v>5</v>
      </c>
      <c r="C38" s="41"/>
      <c r="D38" s="42"/>
      <c r="E38" s="43"/>
      <c r="F38" s="42"/>
      <c r="G38" s="44"/>
      <c r="H38" s="45"/>
      <c r="J38" s="18">
        <f t="shared" si="0"/>
        <v>0</v>
      </c>
      <c r="K38" s="18">
        <f t="shared" si="1"/>
        <v>0</v>
      </c>
      <c r="L38" s="18">
        <f t="shared" si="1"/>
        <v>0</v>
      </c>
      <c r="M38" s="18">
        <f t="shared" si="1"/>
        <v>0</v>
      </c>
      <c r="N38" s="18">
        <f t="shared" si="1"/>
        <v>0</v>
      </c>
    </row>
    <row r="40" spans="2:14" ht="15.95" customHeight="1" x14ac:dyDescent="0.2">
      <c r="B40" s="28" t="s">
        <v>37</v>
      </c>
      <c r="C40" s="29"/>
      <c r="D40" s="29"/>
      <c r="E40" s="29"/>
      <c r="F40" s="29"/>
      <c r="G40" s="29"/>
      <c r="H40" s="29" t="s">
        <v>0</v>
      </c>
      <c r="J40" s="81"/>
      <c r="K40" s="81"/>
      <c r="L40" s="81"/>
      <c r="M40" s="81"/>
      <c r="N40" s="81"/>
    </row>
    <row r="41" spans="2:14" ht="15.95" customHeight="1" x14ac:dyDescent="0.2">
      <c r="B41" s="30" t="s">
        <v>36</v>
      </c>
      <c r="C41" s="47"/>
      <c r="D41" s="48"/>
      <c r="E41" s="49"/>
      <c r="F41" s="48"/>
      <c r="G41" s="50"/>
      <c r="H41" s="30"/>
      <c r="J41" s="19"/>
      <c r="K41" s="19"/>
      <c r="L41" s="19"/>
      <c r="M41" s="19"/>
      <c r="N41" s="19"/>
    </row>
    <row r="42" spans="2:14" ht="15.95" customHeight="1" x14ac:dyDescent="0.2">
      <c r="B42" s="30" t="s">
        <v>33</v>
      </c>
      <c r="C42" s="51">
        <v>30000</v>
      </c>
      <c r="D42" s="52"/>
      <c r="E42" s="53"/>
      <c r="F42" s="52"/>
      <c r="G42" s="54"/>
      <c r="H42" s="30"/>
      <c r="J42" s="19"/>
      <c r="K42" s="19"/>
      <c r="L42" s="19"/>
      <c r="M42" s="19"/>
      <c r="N42" s="19"/>
    </row>
    <row r="43" spans="2:14" ht="15.95" customHeight="1" x14ac:dyDescent="0.2">
      <c r="B43" s="30" t="s">
        <v>41</v>
      </c>
      <c r="C43" s="59"/>
      <c r="D43" s="60"/>
      <c r="E43" s="61"/>
      <c r="F43" s="60"/>
      <c r="G43" s="62"/>
      <c r="H43" s="35"/>
      <c r="J43" s="18">
        <f>IF($H43&lt;&gt;"",(POWER(1,J$30)*VLOOKUP($H43,Levels,2,FALSE))*(C43/231),0)</f>
        <v>0</v>
      </c>
      <c r="K43" s="18">
        <f t="shared" ref="K43:N44" si="2">IF($H43&lt;&gt;"",(POWER(1.02,K$30)*VLOOKUP($H43,Levels,2,FALSE))*(D43/231),0)</f>
        <v>0</v>
      </c>
      <c r="L43" s="18">
        <f t="shared" si="2"/>
        <v>0</v>
      </c>
      <c r="M43" s="18">
        <f t="shared" si="2"/>
        <v>0</v>
      </c>
      <c r="N43" s="18">
        <f t="shared" si="2"/>
        <v>0</v>
      </c>
    </row>
    <row r="44" spans="2:14" ht="15.95" customHeight="1" x14ac:dyDescent="0.2">
      <c r="B44" s="30" t="s">
        <v>41</v>
      </c>
      <c r="C44" s="63"/>
      <c r="D44" s="64"/>
      <c r="E44" s="65"/>
      <c r="F44" s="64"/>
      <c r="G44" s="66"/>
      <c r="H44" s="45"/>
      <c r="J44" s="18">
        <f>IF($H44&lt;&gt;"",(POWER(1,J$30)*VLOOKUP($H44,Levels,2,FALSE))*(C44/231),0)</f>
        <v>0</v>
      </c>
      <c r="K44" s="18">
        <f t="shared" si="2"/>
        <v>0</v>
      </c>
      <c r="L44" s="18">
        <f t="shared" si="2"/>
        <v>0</v>
      </c>
      <c r="M44" s="18">
        <f t="shared" si="2"/>
        <v>0</v>
      </c>
      <c r="N44" s="18">
        <f t="shared" si="2"/>
        <v>0</v>
      </c>
    </row>
    <row r="46" spans="2:14" ht="15.75" x14ac:dyDescent="0.25">
      <c r="B46" s="22" t="s">
        <v>48</v>
      </c>
      <c r="C46" s="23"/>
      <c r="D46" s="23"/>
      <c r="E46" s="123" t="s">
        <v>94</v>
      </c>
      <c r="F46" s="23"/>
      <c r="G46" s="23"/>
      <c r="H46" s="23"/>
    </row>
    <row r="47" spans="2:14" ht="15.75" thickBot="1" x14ac:dyDescent="0.25"/>
    <row r="48" spans="2:14" x14ac:dyDescent="0.2">
      <c r="B48" s="109"/>
      <c r="C48" s="114" t="s">
        <v>70</v>
      </c>
      <c r="D48" s="115" t="s">
        <v>71</v>
      </c>
      <c r="E48" s="116" t="s">
        <v>72</v>
      </c>
    </row>
    <row r="49" spans="2:8" ht="15.75" thickBot="1" x14ac:dyDescent="0.25">
      <c r="B49" s="110" t="s">
        <v>73</v>
      </c>
      <c r="C49" s="117" t="str">
        <f>IF(Compl_del&lt;40%,"Low","")</f>
        <v/>
      </c>
      <c r="D49" s="118" t="str">
        <f>IF(AND(Compl_del&gt;=40%,Compl_del&lt;70%),"Medium","")</f>
        <v/>
      </c>
      <c r="E49" s="119" t="str">
        <f>IF(Compl_del&gt;=70%,"Complex","")</f>
        <v>Complex</v>
      </c>
    </row>
    <row r="50" spans="2:8" x14ac:dyDescent="0.2">
      <c r="B50" s="111"/>
      <c r="C50" s="112" t="s">
        <v>51</v>
      </c>
      <c r="D50" s="112" t="s">
        <v>52</v>
      </c>
      <c r="E50" s="112" t="s">
        <v>53</v>
      </c>
    </row>
    <row r="51" spans="2:8" ht="15.75" thickBot="1" x14ac:dyDescent="0.25">
      <c r="B51" s="110" t="s">
        <v>27</v>
      </c>
      <c r="C51" s="113">
        <f>ROUNDDOWN(SUM(C24:G24),-3)</f>
        <v>250000</v>
      </c>
      <c r="D51" s="113">
        <f>ROUNDDOWN(AVERAGE(1,Achiev_ben)*SUM(C24:G24),-3)</f>
        <v>237000</v>
      </c>
      <c r="E51" s="113">
        <f>ROUNDDOWN(Achiev_ben*SUM(C24:G24),-3)</f>
        <v>225000</v>
      </c>
    </row>
    <row r="52" spans="2:8" x14ac:dyDescent="0.2">
      <c r="B52" s="111"/>
      <c r="C52" s="112" t="s">
        <v>51</v>
      </c>
      <c r="D52" s="112" t="s">
        <v>52</v>
      </c>
      <c r="E52" s="112" t="s">
        <v>53</v>
      </c>
    </row>
    <row r="53" spans="2:8" ht="15.75" thickBot="1" x14ac:dyDescent="0.25">
      <c r="B53" s="110" t="s">
        <v>74</v>
      </c>
      <c r="C53" s="113">
        <f>ROUNDUP(SUM(C64:C66),-4)</f>
        <v>200000</v>
      </c>
      <c r="D53" s="113">
        <f>ROUNDUP(SUM(D64:D66),-4)</f>
        <v>220000</v>
      </c>
      <c r="E53" s="113">
        <f>ROUNDUP(SUM(E64:E66),-4)</f>
        <v>230000</v>
      </c>
    </row>
    <row r="55" spans="2:8" ht="15.75" x14ac:dyDescent="0.25">
      <c r="B55" s="22" t="s">
        <v>29</v>
      </c>
      <c r="C55" s="23"/>
      <c r="D55" s="77"/>
      <c r="E55" s="123" t="s">
        <v>92</v>
      </c>
      <c r="F55" s="23"/>
      <c r="G55" s="23"/>
      <c r="H55" s="123" t="s">
        <v>93</v>
      </c>
    </row>
    <row r="56" spans="2:8" ht="15.75" x14ac:dyDescent="0.25">
      <c r="B56" s="25"/>
      <c r="C56" s="24"/>
      <c r="D56" s="91"/>
      <c r="E56" s="24"/>
      <c r="F56" s="24"/>
      <c r="G56" s="24"/>
      <c r="H56" s="24"/>
    </row>
    <row r="57" spans="2:8" ht="15.75" x14ac:dyDescent="0.25">
      <c r="B57" s="91" t="s">
        <v>62</v>
      </c>
      <c r="C57" s="24"/>
      <c r="D57" s="91"/>
      <c r="E57" s="24"/>
      <c r="F57" s="24"/>
      <c r="G57" s="91" t="s">
        <v>63</v>
      </c>
      <c r="H57" s="24"/>
    </row>
    <row r="58" spans="2:8" ht="15.75" thickBot="1" x14ac:dyDescent="0.25"/>
    <row r="59" spans="2:8" ht="15.75" thickBot="1" x14ac:dyDescent="0.25">
      <c r="B59" s="73" t="s">
        <v>3</v>
      </c>
      <c r="C59" s="74" t="s">
        <v>51</v>
      </c>
      <c r="D59" s="74" t="s">
        <v>52</v>
      </c>
      <c r="E59" s="74" t="s">
        <v>53</v>
      </c>
      <c r="G59" s="92" t="s">
        <v>27</v>
      </c>
      <c r="H59" s="101">
        <f>_xlfn.IFS(C61&lt;&gt;"",C60,D61&lt;&gt;"",D60,E61&lt;&gt;"",E60)</f>
        <v>250000</v>
      </c>
    </row>
    <row r="60" spans="2:8" ht="26.25" thickBot="1" x14ac:dyDescent="0.25">
      <c r="B60" s="75" t="s">
        <v>54</v>
      </c>
      <c r="C60" s="78">
        <f>SUM(C24:G24)</f>
        <v>250000</v>
      </c>
      <c r="D60" s="78">
        <f>ROUNDDOWN(AVERAGEA(1,Achiev_ben)*SUM(C24:G24),-3)</f>
        <v>237000</v>
      </c>
      <c r="E60" s="78">
        <f>ROUNDDOWN(Achiev_ben*SUM(C24:G24),-3)</f>
        <v>225000</v>
      </c>
      <c r="G60" s="103" t="s">
        <v>64</v>
      </c>
      <c r="H60" s="104">
        <f>_xlfn.IFS(C$69&lt;&gt;"",C64,D$69&lt;&gt;"",D64,E$69&lt;&gt;"",E64)</f>
        <v>100000</v>
      </c>
    </row>
    <row r="61" spans="2:8" ht="26.25" thickBot="1" x14ac:dyDescent="0.25">
      <c r="B61" s="130" t="s">
        <v>99</v>
      </c>
      <c r="C61" s="131" t="str">
        <f>IF(Achiev_ben&gt;=65%,"Simple","")</f>
        <v>Simple</v>
      </c>
      <c r="D61" s="131" t="str">
        <f>IF(AND(Achiev_ben&lt;65%,Achiev_ben&gt;=40%),"Medium","")</f>
        <v/>
      </c>
      <c r="E61" s="131" t="str">
        <f>IF(Achiev_ben&lt;40%,"Complex","")</f>
        <v/>
      </c>
      <c r="G61" s="105" t="s">
        <v>65</v>
      </c>
      <c r="H61" s="106">
        <f>_xlfn.IFS(C$69&lt;&gt;"",C65,D$69&lt;&gt;"",D65,E$69&lt;&gt;"",E65)</f>
        <v>70000</v>
      </c>
    </row>
    <row r="62" spans="2:8" ht="26.25" thickBot="1" x14ac:dyDescent="0.3">
      <c r="B62" s="76"/>
      <c r="C62"/>
      <c r="D62"/>
      <c r="E62"/>
      <c r="G62" s="107" t="s">
        <v>66</v>
      </c>
      <c r="H62" s="108">
        <f>_xlfn.IFS(C$69&lt;&gt;"",C66,D$69&lt;&gt;"",D66,E$69&lt;&gt;"",E66)</f>
        <v>30000</v>
      </c>
    </row>
    <row r="63" spans="2:8" ht="15.75" thickBot="1" x14ac:dyDescent="0.25">
      <c r="B63" s="73" t="s">
        <v>69</v>
      </c>
      <c r="C63" s="74" t="s">
        <v>51</v>
      </c>
      <c r="D63" s="74" t="s">
        <v>52</v>
      </c>
      <c r="E63" s="74" t="s">
        <v>53</v>
      </c>
      <c r="G63" s="93" t="s">
        <v>67</v>
      </c>
      <c r="H63" s="102">
        <f>_xlfn.IFS(C$69&lt;&gt;"",C67,D$69&lt;&gt;"",D67,E$69&lt;&gt;"",E67)</f>
        <v>200000</v>
      </c>
    </row>
    <row r="64" spans="2:8" ht="15.75" thickBot="1" x14ac:dyDescent="0.25">
      <c r="B64" s="95" t="s">
        <v>55</v>
      </c>
      <c r="C64" s="96">
        <f>ROUNDUP(SUM(C27:G29),-3)</f>
        <v>100000</v>
      </c>
      <c r="D64" s="96">
        <f>ROUNDUP(SUM(C27:G29)/AVERAGEA(1,Achiev_del),-3)</f>
        <v>106000</v>
      </c>
      <c r="E64" s="96">
        <f>ROUNDUP(SUM(C27:G29)/Achiev_del,-3)</f>
        <v>112000</v>
      </c>
      <c r="G64" s="93" t="s">
        <v>57</v>
      </c>
      <c r="H64" s="102">
        <f>_xlfn.IFS(C$69&lt;&gt;"",C68,D$69&lt;&gt;"",D68,E$69&lt;&gt;"",E68)</f>
        <v>50000</v>
      </c>
    </row>
    <row r="65" spans="2:11" ht="15.75" thickBot="1" x14ac:dyDescent="0.25">
      <c r="B65" s="97" t="s">
        <v>56</v>
      </c>
      <c r="C65" s="98">
        <f>ROUNDUP(SUM(J32:N38),-3)</f>
        <v>70000</v>
      </c>
      <c r="D65" s="98">
        <f>ROUNDUP(SUM(J32:N38)/AVERAGEA(1,Achiev_del),-3)</f>
        <v>74000</v>
      </c>
      <c r="E65" s="98">
        <f>ROUNDUP(SUM(J32:N38)/Achiev_del,-3)</f>
        <v>78000</v>
      </c>
    </row>
    <row r="66" spans="2:11" ht="15.75" thickBot="1" x14ac:dyDescent="0.25">
      <c r="B66" s="99" t="s">
        <v>68</v>
      </c>
      <c r="C66" s="100">
        <f>ROUNDUP(SUM(C41:G42,J43:N44),-3)</f>
        <v>30000</v>
      </c>
      <c r="D66" s="100">
        <f>ROUNDUP(SUM(C41:G42,J43:N44)/AVERAGEA(1,Achiev_del),-3)</f>
        <v>32000</v>
      </c>
      <c r="E66" s="100">
        <f>ROUNDUP(SUM(C41:G42,J43:N44)/Achiev_del,-3)</f>
        <v>34000</v>
      </c>
    </row>
    <row r="67" spans="2:11" ht="15.75" thickBot="1" x14ac:dyDescent="0.25">
      <c r="B67" s="75" t="s">
        <v>67</v>
      </c>
      <c r="C67" s="94">
        <f>SUM(C64:C66)</f>
        <v>200000</v>
      </c>
      <c r="D67" s="94">
        <f t="shared" ref="D67:E67" si="3">SUM(D64:D66)</f>
        <v>212000</v>
      </c>
      <c r="E67" s="94">
        <f t="shared" si="3"/>
        <v>224000</v>
      </c>
    </row>
    <row r="68" spans="2:11" ht="15.75" thickBot="1" x14ac:dyDescent="0.25">
      <c r="B68" s="75" t="s">
        <v>57</v>
      </c>
      <c r="C68" s="82">
        <f>C60-C67</f>
        <v>50000</v>
      </c>
      <c r="D68" s="82">
        <f t="shared" ref="D68:E68" si="4">D60-D67</f>
        <v>25000</v>
      </c>
      <c r="E68" s="82">
        <f t="shared" si="4"/>
        <v>1000</v>
      </c>
    </row>
    <row r="69" spans="2:11" x14ac:dyDescent="0.2">
      <c r="B69" s="130" t="s">
        <v>100</v>
      </c>
      <c r="C69" s="131" t="str">
        <f>IF(Achiev_del&gt;=65%,"Simple","")</f>
        <v>Simple</v>
      </c>
      <c r="D69" s="131" t="str">
        <f>IF(AND(Achiev_del&lt;65%,Achiev_del&gt;=40%),"Medium","")</f>
        <v/>
      </c>
      <c r="E69" s="131" t="str">
        <f>IF(Achiev_del&lt;40%,"Complex","")</f>
        <v/>
      </c>
    </row>
    <row r="72" spans="2:11" x14ac:dyDescent="0.2">
      <c r="B72" s="80" t="s">
        <v>81</v>
      </c>
      <c r="C72" s="9"/>
      <c r="D72" s="9"/>
      <c r="E72" s="9"/>
      <c r="F72" s="9"/>
      <c r="G72" s="9"/>
      <c r="H72" s="9"/>
    </row>
    <row r="73" spans="2:11" x14ac:dyDescent="0.2">
      <c r="J73" s="16" t="s">
        <v>8</v>
      </c>
      <c r="K73" s="17">
        <f>1.27*140082</f>
        <v>177904.14</v>
      </c>
    </row>
    <row r="74" spans="2:11" ht="15.75" x14ac:dyDescent="0.25">
      <c r="B74" s="27" t="s">
        <v>46</v>
      </c>
      <c r="C74" s="6" t="s">
        <v>19</v>
      </c>
      <c r="D74" s="6" t="s">
        <v>20</v>
      </c>
      <c r="E74" s="6" t="s">
        <v>21</v>
      </c>
      <c r="F74" s="6" t="s">
        <v>22</v>
      </c>
      <c r="G74" s="6" t="s">
        <v>26</v>
      </c>
      <c r="H74" s="7" t="s">
        <v>24</v>
      </c>
      <c r="J74" s="16" t="s">
        <v>14</v>
      </c>
      <c r="K74" s="20">
        <f>1.27*130000</f>
        <v>165100</v>
      </c>
    </row>
    <row r="75" spans="2:11" x14ac:dyDescent="0.2">
      <c r="B75" s="8" t="s">
        <v>23</v>
      </c>
      <c r="C75" s="9">
        <v>2.5</v>
      </c>
      <c r="D75" s="6">
        <v>5</v>
      </c>
      <c r="E75" s="9"/>
      <c r="F75" s="6"/>
      <c r="G75" s="9"/>
      <c r="H75" s="10"/>
      <c r="J75" s="16" t="s">
        <v>15</v>
      </c>
      <c r="K75" s="20">
        <f>1.27*160000</f>
        <v>203200</v>
      </c>
    </row>
    <row r="76" spans="2:11" x14ac:dyDescent="0.2">
      <c r="B76" s="8" t="s">
        <v>18</v>
      </c>
      <c r="C76" s="9">
        <v>11</v>
      </c>
      <c r="D76" s="6">
        <v>12</v>
      </c>
      <c r="E76" s="9"/>
      <c r="F76" s="6"/>
      <c r="G76" s="9"/>
      <c r="H76" s="10">
        <f>SUM(C76:G76)</f>
        <v>23</v>
      </c>
      <c r="J76" s="16" t="s">
        <v>1</v>
      </c>
      <c r="K76" s="20">
        <f>1.27*200000</f>
        <v>254000</v>
      </c>
    </row>
    <row r="77" spans="2:11" ht="15.75" x14ac:dyDescent="0.25">
      <c r="B77" s="8" t="s">
        <v>39</v>
      </c>
      <c r="C77" s="11">
        <f>C75*C76</f>
        <v>27.5</v>
      </c>
      <c r="D77" s="12">
        <f t="shared" ref="D77:G77" si="5">D75*D76</f>
        <v>60</v>
      </c>
      <c r="E77" s="12">
        <f t="shared" si="5"/>
        <v>0</v>
      </c>
      <c r="F77" s="12">
        <f t="shared" si="5"/>
        <v>0</v>
      </c>
      <c r="G77" s="13">
        <f t="shared" si="5"/>
        <v>0</v>
      </c>
      <c r="H77" s="14">
        <f>SUM(C77:G77)</f>
        <v>87.5</v>
      </c>
    </row>
  </sheetData>
  <mergeCells count="7">
    <mergeCell ref="B15:H15"/>
    <mergeCell ref="B16:H16"/>
    <mergeCell ref="B17:H17"/>
    <mergeCell ref="B10:H10"/>
    <mergeCell ref="B8:H8"/>
    <mergeCell ref="B9:H9"/>
    <mergeCell ref="B11:H11"/>
  </mergeCells>
  <dataValidations disablePrompts="1" count="1">
    <dataValidation type="list" allowBlank="1" showInputMessage="1" showErrorMessage="1" sqref="H32:H38 H43:H44" xr:uid="{00000000-0002-0000-0000-000000000000}">
      <formula1>$J$11:$J$21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2" orientation="landscape" horizontalDpi="300" verticalDpi="300" r:id="rId1"/>
  <rowBreaks count="1" manualBreakCount="1">
    <brk id="44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5563BEBED7E849A2C299C8099836DE" ma:contentTypeVersion="13" ma:contentTypeDescription="Create a new document." ma:contentTypeScope="" ma:versionID="a7561e21dae4ac25c123e725173aa160">
  <xsd:schema xmlns:xsd="http://www.w3.org/2001/XMLSchema" xmlns:xs="http://www.w3.org/2001/XMLSchema" xmlns:p="http://schemas.microsoft.com/office/2006/metadata/properties" xmlns:ns1="http://schemas.microsoft.com/sharepoint/v3" xmlns:ns3="8eadecfb-02ef-4c37-8629-1f8495f13a7a" xmlns:ns4="2f8076f3-311e-48c5-a79b-7a114dc8d3a9" targetNamespace="http://schemas.microsoft.com/office/2006/metadata/properties" ma:root="true" ma:fieldsID="d826f36426dcaa40d9ac8a1e442b26a3" ns1:_="" ns3:_="" ns4:_="">
    <xsd:import namespace="http://schemas.microsoft.com/sharepoint/v3"/>
    <xsd:import namespace="8eadecfb-02ef-4c37-8629-1f8495f13a7a"/>
    <xsd:import namespace="2f8076f3-311e-48c5-a79b-7a114dc8d3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adecfb-02ef-4c37-8629-1f8495f13a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8076f3-311e-48c5-a79b-7a114dc8d3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FE8C85-B21E-4922-A856-190160E91264}">
  <ds:schemaRefs>
    <ds:schemaRef ds:uri="http://purl.org/dc/dcmitype/"/>
    <ds:schemaRef ds:uri="http://schemas.microsoft.com/office/2006/documentManagement/types"/>
    <ds:schemaRef ds:uri="http://purl.org/dc/elements/1.1/"/>
    <ds:schemaRef ds:uri="2f8076f3-311e-48c5-a79b-7a114dc8d3a9"/>
    <ds:schemaRef ds:uri="8eadecfb-02ef-4c37-8629-1f8495f13a7a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83881C8-9E2C-43B5-8D4E-5E019C3EF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eadecfb-02ef-4c37-8629-1f8495f13a7a"/>
    <ds:schemaRef ds:uri="2f8076f3-311e-48c5-a79b-7a114dc8d3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01D814-7D61-4CEC-937D-01A0F0CDAB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Financial model</vt:lpstr>
      <vt:lpstr>Achiev_ben</vt:lpstr>
      <vt:lpstr>Achiev_del</vt:lpstr>
      <vt:lpstr>Compl_ben</vt:lpstr>
      <vt:lpstr>Compl_del</vt:lpstr>
      <vt:lpstr>Levels</vt:lpstr>
    </vt:vector>
  </TitlesOfParts>
  <Company>ACU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Case Financial Model</dc:title>
  <dc:creator>Mikail Ruutu</dc:creator>
  <cp:lastModifiedBy>Mikail Ruutu</cp:lastModifiedBy>
  <cp:lastPrinted>2019-11-04T06:19:00Z</cp:lastPrinted>
  <dcterms:created xsi:type="dcterms:W3CDTF">2017-11-22T06:31:16Z</dcterms:created>
  <dcterms:modified xsi:type="dcterms:W3CDTF">2019-12-04T01:56:44Z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0x010100D85563BEBED7E849A2C299C8099836DE</vt:lpwstr>
  </property>
</Properties>
</file>