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myacu-my.sharepoint.com/personal/miruutu_acu_edu_au/Documents/PM Model/Templates/"/>
    </mc:Choice>
  </mc:AlternateContent>
  <xr:revisionPtr revIDLastSave="0" documentId="8_{0C82FAAE-4A43-4EDA-96DC-A48A2E3F682D}" xr6:coauthVersionLast="47" xr6:coauthVersionMax="47" xr10:uidLastSave="{00000000-0000-0000-0000-000000000000}"/>
  <bookViews>
    <workbookView xWindow="840" yWindow="-120" windowWidth="28080" windowHeight="16440" activeTab="1" xr2:uid="{E0E75E6B-F1DF-48B3-B931-FB234E8FA61F}"/>
  </bookViews>
  <sheets>
    <sheet name="Instructions" sheetId="1" r:id="rId1"/>
    <sheet name="Early assessment" sheetId="9" r:id="rId2"/>
    <sheet name="Full assessment" sheetId="10" r:id="rId3"/>
    <sheet name="Results" sheetId="6" r:id="rId4"/>
    <sheet name="UPMO &amp; IMC assessment" sheetId="13" r:id="rId5"/>
    <sheet name="Definitions" sheetId="8" r:id="rId6"/>
    <sheet name="Lookups" sheetId="11" r:id="rId7"/>
    <sheet name="BC delivery" sheetId="2" state="hidden" r:id="rId8"/>
    <sheet name="BC benefits" sheetId="3" state="hidden" r:id="rId9"/>
  </sheets>
  <definedNames>
    <definedName name="Achievability">Results!$E$14</definedName>
    <definedName name="Attractiveness">Results!$E$13</definedName>
    <definedName name="Pr_name">'Early assessment'!$C$2</definedName>
    <definedName name="_xlnm.Print_Area" localSheetId="1">'Early assessment'!$A$1:$G$31</definedName>
    <definedName name="_xlnm.Print_Area" localSheetId="2">'Full assessment'!$A$1:$G$39</definedName>
    <definedName name="_xlnm.Print_Area" localSheetId="0">Instructions!$A$1:$D$37</definedName>
    <definedName name="_xlnm.Print_Area" localSheetId="3">Results!$A$1:$K$38</definedName>
    <definedName name="_xlnm.Print_Titles" localSheetId="1">'Early assessment'!$A:$A</definedName>
    <definedName name="_xlnm.Print_Titles" localSheetId="2">'Full assessment'!$A:$A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13" l="1"/>
  <c r="C32" i="13" s="1"/>
  <c r="C36" i="13" s="1"/>
  <c r="C5" i="13"/>
  <c r="C30" i="13"/>
  <c r="C35" i="13" s="1"/>
  <c r="C29" i="13"/>
  <c r="C34" i="13" s="1"/>
  <c r="C28" i="13"/>
  <c r="C33" i="13" s="1"/>
  <c r="F23" i="9"/>
  <c r="C12" i="13" l="1" a="1"/>
  <c r="C12" i="13" s="1"/>
  <c r="G31" i="10"/>
  <c r="C15" i="13" l="1" a="1"/>
  <c r="C15" i="13" s="1"/>
  <c r="H11" i="9"/>
  <c r="H11" i="10"/>
  <c r="G10" i="6"/>
  <c r="F10" i="6" a="1"/>
  <c r="F10" i="6" s="1"/>
  <c r="F12" i="11"/>
  <c r="C14" i="13" a="1"/>
  <c r="C14" i="13" s="1"/>
  <c r="C13" i="13" a="1"/>
  <c r="C13" i="13" s="1"/>
  <c r="H13" i="9"/>
  <c r="M12" i="9"/>
  <c r="M11" i="9"/>
  <c r="M10" i="9"/>
  <c r="M9" i="9"/>
  <c r="M8" i="9"/>
  <c r="M13" i="9"/>
  <c r="N13" i="9"/>
  <c r="C16" i="13" l="1"/>
  <c r="F11" i="6" a="1"/>
  <c r="F11" i="6" s="1"/>
  <c r="F9" i="6" a="1"/>
  <c r="F9" i="6" s="1"/>
  <c r="F8" i="6" a="1"/>
  <c r="F8" i="6" s="1"/>
  <c r="F7" i="6" a="1"/>
  <c r="F7" i="6" s="1"/>
  <c r="G11" i="6" l="1"/>
  <c r="G9" i="6"/>
  <c r="G8" i="6"/>
  <c r="G7" i="6"/>
  <c r="F2" i="6" l="1"/>
  <c r="C2" i="10"/>
  <c r="D68" i="11" l="1"/>
  <c r="E68" i="11"/>
  <c r="E67" i="11"/>
  <c r="D67" i="11"/>
  <c r="D19" i="11" l="1"/>
  <c r="J11" i="11"/>
  <c r="M38" i="10"/>
  <c r="H38" i="10"/>
  <c r="M37" i="10"/>
  <c r="H37" i="10"/>
  <c r="M36" i="10"/>
  <c r="H36" i="10"/>
  <c r="M35" i="10"/>
  <c r="H35" i="10"/>
  <c r="M34" i="10"/>
  <c r="H34" i="10"/>
  <c r="M33" i="10"/>
  <c r="H33" i="10"/>
  <c r="M32" i="10"/>
  <c r="H32" i="10"/>
  <c r="M31" i="10"/>
  <c r="H31" i="10"/>
  <c r="M30" i="10"/>
  <c r="H30" i="10"/>
  <c r="M29" i="10"/>
  <c r="H29" i="10"/>
  <c r="M28" i="10"/>
  <c r="H28" i="10"/>
  <c r="M27" i="10"/>
  <c r="H27" i="10"/>
  <c r="M26" i="10"/>
  <c r="H26" i="10"/>
  <c r="M25" i="10"/>
  <c r="H25" i="10"/>
  <c r="M24" i="10"/>
  <c r="H24" i="10"/>
  <c r="M23" i="10"/>
  <c r="H23" i="10"/>
  <c r="H19" i="10"/>
  <c r="H18" i="10"/>
  <c r="H17" i="10"/>
  <c r="H16" i="10"/>
  <c r="H12" i="10"/>
  <c r="H10" i="10"/>
  <c r="H9" i="10"/>
  <c r="H8" i="10"/>
  <c r="C9" i="13" s="1"/>
  <c r="N30" i="9"/>
  <c r="M30" i="9"/>
  <c r="H30" i="9"/>
  <c r="N29" i="9"/>
  <c r="M29" i="9"/>
  <c r="H29" i="9"/>
  <c r="N28" i="9"/>
  <c r="M28" i="9"/>
  <c r="H28" i="9"/>
  <c r="N27" i="9"/>
  <c r="M27" i="9"/>
  <c r="H27" i="9"/>
  <c r="N26" i="9"/>
  <c r="M26" i="9"/>
  <c r="H26" i="9"/>
  <c r="N22" i="9"/>
  <c r="M22" i="9"/>
  <c r="H22" i="9"/>
  <c r="G37" i="6" s="1"/>
  <c r="N21" i="9"/>
  <c r="M21" i="9"/>
  <c r="H21" i="9"/>
  <c r="N20" i="9"/>
  <c r="M20" i="9"/>
  <c r="H20" i="9"/>
  <c r="N19" i="9"/>
  <c r="M19" i="9"/>
  <c r="H19" i="9"/>
  <c r="N18" i="9"/>
  <c r="M18" i="9"/>
  <c r="H18" i="9"/>
  <c r="N17" i="9"/>
  <c r="M17" i="9"/>
  <c r="H17" i="9"/>
  <c r="N12" i="9"/>
  <c r="H12" i="9"/>
  <c r="N11" i="9"/>
  <c r="N10" i="9"/>
  <c r="H10" i="9"/>
  <c r="N9" i="9"/>
  <c r="H9" i="9"/>
  <c r="C8" i="13" s="1"/>
  <c r="N8" i="9"/>
  <c r="H8" i="9"/>
  <c r="C7" i="13" s="1"/>
  <c r="C10" i="13" l="1"/>
  <c r="C17" i="13" s="1"/>
  <c r="H14" i="9"/>
  <c r="H13" i="10" s="1"/>
  <c r="B37" i="6" s="1"/>
  <c r="F6" i="6" s="1"/>
  <c r="H23" i="9"/>
  <c r="H39" i="10" s="1"/>
  <c r="F39" i="10" s="1" a="1"/>
  <c r="F39" i="10" s="1"/>
  <c r="M12" i="10"/>
  <c r="M9" i="10"/>
  <c r="M11" i="10"/>
  <c r="M10" i="10"/>
  <c r="N10" i="10"/>
  <c r="N38" i="10"/>
  <c r="G12" i="11"/>
  <c r="G13" i="11" s="1"/>
  <c r="H31" i="9"/>
  <c r="H20" i="10" s="1"/>
  <c r="D37" i="6" s="1"/>
  <c r="E13" i="6" s="1"/>
  <c r="D20" i="11"/>
  <c r="D21" i="11"/>
  <c r="C37" i="6"/>
  <c r="D12" i="11" s="1"/>
  <c r="N11" i="10"/>
  <c r="M16" i="10"/>
  <c r="M17" i="10"/>
  <c r="M18" i="10"/>
  <c r="M19" i="10"/>
  <c r="M8" i="10"/>
  <c r="N9" i="10"/>
  <c r="N16" i="10"/>
  <c r="N17" i="10"/>
  <c r="N18" i="10"/>
  <c r="N19" i="10"/>
  <c r="N8" i="10"/>
  <c r="N12" i="10"/>
  <c r="N23" i="10"/>
  <c r="N24" i="10"/>
  <c r="N25" i="10"/>
  <c r="N26" i="10"/>
  <c r="N27" i="10"/>
  <c r="N28" i="10"/>
  <c r="N29" i="10"/>
  <c r="N30" i="10"/>
  <c r="N31" i="10"/>
  <c r="N32" i="10"/>
  <c r="N33" i="10"/>
  <c r="N34" i="10"/>
  <c r="N35" i="10"/>
  <c r="N36" i="10"/>
  <c r="N37" i="10"/>
  <c r="C19" i="13" l="1" a="1"/>
  <c r="C19" i="13" s="1"/>
  <c r="F13" i="6" a="1"/>
  <c r="F13" i="6" s="1"/>
  <c r="C12" i="11"/>
  <c r="C13" i="11" s="1"/>
  <c r="E12" i="11"/>
  <c r="E13" i="11" s="1"/>
  <c r="H37" i="6"/>
  <c r="E14" i="6" s="1"/>
  <c r="F14" i="6" s="1" a="1"/>
  <c r="F14" i="6" s="1"/>
  <c r="F20" i="10" a="1"/>
  <c r="F20" i="10" s="1"/>
  <c r="D22" i="11"/>
  <c r="F37" i="6" l="1"/>
  <c r="H12" i="11"/>
  <c r="H13" i="11" s="1"/>
  <c r="I37" i="6" l="1"/>
  <c r="I12" i="11" s="1"/>
  <c r="I13" i="11" s="1"/>
  <c r="J37" i="6" l="1" a="1"/>
  <c r="J3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I8" authorId="0" shapeId="0" xr:uid="{6EA5D8C3-83FD-4DCD-AB1D-9FE585E9BA66}">
      <text>
        <r>
          <rPr>
            <b/>
            <sz val="9"/>
            <color indexed="81"/>
            <rFont val="Tahoma"/>
            <family val="2"/>
          </rPr>
          <t>Mikail Ruutu:</t>
        </r>
        <r>
          <rPr>
            <sz val="9"/>
            <color indexed="81"/>
            <rFont val="Tahoma"/>
            <family val="2"/>
          </rPr>
          <t xml:space="preserve">
The scoring of this row updated in version 2023 06 to match the UPMO / IMC assessment scoring.</t>
        </r>
      </text>
    </comment>
    <comment ref="I11" authorId="0" shapeId="0" xr:uid="{EE4E7729-C93B-49A0-90F5-F176A5AD39E5}">
      <text>
        <r>
          <rPr>
            <b/>
            <sz val="9"/>
            <color indexed="81"/>
            <rFont val="Tahoma"/>
            <family val="2"/>
          </rPr>
          <t>Mikail Ruutu:</t>
        </r>
        <r>
          <rPr>
            <sz val="9"/>
            <color indexed="81"/>
            <rFont val="Tahoma"/>
            <family val="2"/>
          </rPr>
          <t xml:space="preserve">
The scoring of this row updated in version 2023 06 to match the UPMO / IMC assessment scoring.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I8" authorId="0" shapeId="0" xr:uid="{4A86B5F1-4C5E-4CF4-B19F-3AD67BD47185}">
      <text>
        <r>
          <rPr>
            <b/>
            <sz val="9"/>
            <color indexed="81"/>
            <rFont val="Tahoma"/>
            <family val="2"/>
          </rPr>
          <t>Mikail Ruutu:</t>
        </r>
        <r>
          <rPr>
            <sz val="9"/>
            <color indexed="81"/>
            <rFont val="Tahoma"/>
            <family val="2"/>
          </rPr>
          <t xml:space="preserve">
The answer options and scoring of this row updated in version 2023 06 to match the UPMO / IMC assessment scoring.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Mikail Ruutu</author>
  </authors>
  <commentList>
    <comment ref="F12" authorId="0" shapeId="0" xr:uid="{7DE2D8AF-D656-4143-80C6-03B78EFC0CC7}">
      <text>
        <r>
          <rPr>
            <sz val="9"/>
            <color indexed="81"/>
            <rFont val="Tahoma"/>
            <family val="2"/>
          </rPr>
          <t>Deducted from the total score.</t>
        </r>
      </text>
    </comment>
    <comment ref="D19" authorId="0" shapeId="0" xr:uid="{BE303620-DE3B-45A3-BCA1-1543DBDCF286}">
      <text>
        <r>
          <rPr>
            <sz val="9"/>
            <color indexed="81"/>
            <rFont val="Tahoma"/>
            <family val="2"/>
          </rPr>
          <t>$150,000 from Finance as an average salary cost of an ACU staff member, incl on-costs.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<sst xmlns="http://schemas.openxmlformats.org/spreadsheetml/2006/main" count="960" uniqueCount="610">
  <si>
    <t>INSTRUCTIONS FOR THE PROJECT ASSESSMENT</t>
  </si>
  <si>
    <t>WHY</t>
  </si>
  <si>
    <t>This assessment indicates the likely attractiveness and achievability of a proposed change or project.</t>
  </si>
  <si>
    <t>GENERAL</t>
  </si>
  <si>
    <t>The assessment is done in two stages:</t>
  </si>
  <si>
    <t>1) When a new change / project idea is submitted, the Service Improvement Team performs an initial triage.</t>
  </si>
  <si>
    <r>
      <t xml:space="preserve">2) The </t>
    </r>
    <r>
      <rPr>
        <b/>
        <sz val="11"/>
        <color theme="1"/>
        <rFont val="Tahoma"/>
        <family val="2"/>
      </rPr>
      <t>early assessment</t>
    </r>
    <r>
      <rPr>
        <sz val="11"/>
        <color theme="1"/>
        <rFont val="Tahoma"/>
        <family val="2"/>
      </rPr>
      <t xml:space="preserve"> is completed when developing a Proposal for Business Change.</t>
    </r>
  </si>
  <si>
    <t>In that document, the initial complexity level (simple, medium, complex) is based on the potential magnitude.</t>
  </si>
  <si>
    <r>
      <t xml:space="preserve">3) The </t>
    </r>
    <r>
      <rPr>
        <b/>
        <sz val="11"/>
        <color theme="1"/>
        <rFont val="Tahoma"/>
        <family val="2"/>
      </rPr>
      <t>full assessment</t>
    </r>
    <r>
      <rPr>
        <sz val="11"/>
        <color theme="1"/>
        <rFont val="Tahoma"/>
        <family val="2"/>
      </rPr>
      <t xml:space="preserve"> is completed when preparing a Project Business Case and any time it is modified.</t>
    </r>
  </si>
  <si>
    <t>At that time, you can also review the early assessment and adjust any of the scores based on new information.</t>
  </si>
  <si>
    <t>The resulting scores are shown on the 'Results' sheet.</t>
  </si>
  <si>
    <t>HOW TO?</t>
  </si>
  <si>
    <t>In both assessments, enter your selected choice (a, b, c or d) in column F, next to the answer options.</t>
  </si>
  <si>
    <t>The early assessment selections will influence the total score even when you've completed the full assessment part.</t>
  </si>
  <si>
    <t>USING THE RESULTS</t>
  </si>
  <si>
    <r>
      <t xml:space="preserve">The </t>
    </r>
    <r>
      <rPr>
        <b/>
        <sz val="11"/>
        <color theme="1"/>
        <rFont val="Tahoma"/>
        <family val="2"/>
      </rPr>
      <t>score</t>
    </r>
    <r>
      <rPr>
        <sz val="11"/>
        <color theme="1"/>
        <rFont val="Tahoma"/>
        <family val="2"/>
      </rPr>
      <t xml:space="preserve"> in cell I7 is used for project prioritisation in a Program Board.</t>
    </r>
  </si>
  <si>
    <r>
      <t xml:space="preserve">The </t>
    </r>
    <r>
      <rPr>
        <b/>
        <sz val="11"/>
        <color theme="1"/>
        <rFont val="Tahoma"/>
        <family val="2"/>
      </rPr>
      <t>complexity</t>
    </r>
    <r>
      <rPr>
        <sz val="11"/>
        <color theme="1"/>
        <rFont val="Tahoma"/>
        <family val="2"/>
      </rPr>
      <t xml:space="preserve"> rating in cell G8 guides in the governance model to be applied.</t>
    </r>
  </si>
  <si>
    <r>
      <t xml:space="preserve">The </t>
    </r>
    <r>
      <rPr>
        <b/>
        <sz val="11"/>
        <color theme="1"/>
        <rFont val="Tahoma"/>
        <family val="2"/>
      </rPr>
      <t>radar chart</t>
    </r>
    <r>
      <rPr>
        <sz val="11"/>
        <color theme="1"/>
        <rFont val="Tahoma"/>
        <family val="2"/>
      </rPr>
      <t xml:space="preserve"> under the results is copied into the Project Business Case, Project Outline section.</t>
    </r>
  </si>
  <si>
    <r>
      <t xml:space="preserve">The </t>
    </r>
    <r>
      <rPr>
        <b/>
        <sz val="11"/>
        <color theme="1"/>
        <rFont val="Tahoma"/>
        <family val="2"/>
      </rPr>
      <t>confidence ratings</t>
    </r>
    <r>
      <rPr>
        <sz val="11"/>
        <color theme="1"/>
        <rFont val="Tahoma"/>
        <family val="2"/>
      </rPr>
      <t xml:space="preserve"> are copied to the Project Financial Model (top of Project Cost Estimate worksheet).</t>
    </r>
  </si>
  <si>
    <t>PROJECT ASSESSMENT</t>
  </si>
  <si>
    <t>Early assessment</t>
  </si>
  <si>
    <t>This assessment is done while preparing a Proposal for Business Change.</t>
  </si>
  <si>
    <t>It gives an early indication of the value of a proposed change ("attractiveness").</t>
  </si>
  <si>
    <t>CONTRIBUTION TO ACU GOALS</t>
  </si>
  <si>
    <t>A</t>
  </si>
  <si>
    <t>B</t>
  </si>
  <si>
    <t>C</t>
  </si>
  <si>
    <t>D</t>
  </si>
  <si>
    <t>Your selection</t>
  </si>
  <si>
    <t>Comments</t>
  </si>
  <si>
    <t>Score</t>
  </si>
  <si>
    <t>% in group</t>
  </si>
  <si>
    <t>% overall</t>
  </si>
  <si>
    <t>Contribution to priorities</t>
  </si>
  <si>
    <t>None</t>
  </si>
  <si>
    <t>Strat Plan goal</t>
  </si>
  <si>
    <t>Compliance</t>
  </si>
  <si>
    <t>Improvement to student experience</t>
  </si>
  <si>
    <t>No change</t>
  </si>
  <si>
    <t>Adjust</t>
  </si>
  <si>
    <t>Change</t>
  </si>
  <si>
    <t>New service</t>
  </si>
  <si>
    <t>Improvement to staff experience</t>
  </si>
  <si>
    <t>Improvement to operational efficiency</t>
  </si>
  <si>
    <t>Slight</t>
  </si>
  <si>
    <t>Measurable</t>
  </si>
  <si>
    <t>Significant</t>
  </si>
  <si>
    <t>Broadness of impact</t>
  </si>
  <si>
    <t>Local</t>
  </si>
  <si>
    <t>Faculty / Dir</t>
  </si>
  <si>
    <t>Portfolio</t>
  </si>
  <si>
    <t>All / national</t>
  </si>
  <si>
    <t>MAGNITUDE</t>
  </si>
  <si>
    <t>Process / work practice / service changes</t>
  </si>
  <si>
    <t>Remains as is</t>
  </si>
  <si>
    <t>Redesign / new</t>
  </si>
  <si>
    <t>System to be implemented</t>
  </si>
  <si>
    <t>No system</t>
  </si>
  <si>
    <t>Single function</t>
  </si>
  <si>
    <t>Multi-function</t>
  </si>
  <si>
    <t>Core system</t>
  </si>
  <si>
    <t>Level of current uncertainties</t>
  </si>
  <si>
    <t>We know this well</t>
  </si>
  <si>
    <t>Some questions</t>
  </si>
  <si>
    <t>Known unknowns</t>
  </si>
  <si>
    <t>"Don't know"</t>
  </si>
  <si>
    <t>Contractors and capital-funded staff share of work</t>
  </si>
  <si>
    <t>&lt; 25%</t>
  </si>
  <si>
    <t>&lt; 50%</t>
  </si>
  <si>
    <t>&lt; 75%</t>
  </si>
  <si>
    <t>&gt; 75%</t>
  </si>
  <si>
    <t>Expected duration</t>
  </si>
  <si>
    <t>&lt; 6 mo</t>
  </si>
  <si>
    <t>&lt; 12 mo</t>
  </si>
  <si>
    <t>&lt; 18 mo</t>
  </si>
  <si>
    <t>&gt; 18 mo</t>
  </si>
  <si>
    <t>Capacity available</t>
  </si>
  <si>
    <t>Available</t>
  </si>
  <si>
    <t>We can buy</t>
  </si>
  <si>
    <t>Small gaps / delay</t>
  </si>
  <si>
    <t>Major gaps / delay</t>
  </si>
  <si>
    <t xml:space="preserve">Potential complexity level </t>
  </si>
  <si>
    <t>CONFIDENCE IN REALISING THE BENEFITS</t>
  </si>
  <si>
    <t>Action / mitigation of high risks</t>
  </si>
  <si>
    <t>Complexity of process changes (outputs) to be implemented</t>
  </si>
  <si>
    <t>Easy</t>
  </si>
  <si>
    <t>Well defined</t>
  </si>
  <si>
    <t>Moderate</t>
  </si>
  <si>
    <t>Complex</t>
  </si>
  <si>
    <t>Outcome's impact on stakeholders</t>
  </si>
  <si>
    <t>Improves work</t>
  </si>
  <si>
    <t>Neutral</t>
  </si>
  <si>
    <t>Have questions</t>
  </si>
  <si>
    <t>Some may hesitate</t>
  </si>
  <si>
    <t>Time required to convert project outputs into final outcome</t>
  </si>
  <si>
    <t>≤ 3 mo</t>
  </si>
  <si>
    <t>≤ 6 mo</t>
  </si>
  <si>
    <t>≤ 1 year</t>
  </si>
  <si>
    <t>&gt; 1 year</t>
  </si>
  <si>
    <t>Number of stakeholder groups involved</t>
  </si>
  <si>
    <t>2 - 3</t>
  </si>
  <si>
    <t>4 - 5</t>
  </si>
  <si>
    <t>6 or more</t>
  </si>
  <si>
    <t>Size of total financial benefits (over 5 years)</t>
  </si>
  <si>
    <t>&gt; $1M</t>
  </si>
  <si>
    <t>$251K - $1M</t>
  </si>
  <si>
    <t>$51K - $250K</t>
  </si>
  <si>
    <t>≤ $50K</t>
  </si>
  <si>
    <t>Full assessment</t>
  </si>
  <si>
    <t>This assessment is done while preparing a Project Business Case.</t>
  </si>
  <si>
    <t>It characterises the value of the change ("attractiveness") and estimates the complexity of the delivery ("achievability").</t>
  </si>
  <si>
    <t>Cost estimate</t>
  </si>
  <si>
    <t>Expected benefits</t>
  </si>
  <si>
    <t>Non-financial</t>
  </si>
  <si>
    <t>Evidence of need</t>
  </si>
  <si>
    <t>Anecdotal</t>
  </si>
  <si>
    <t>Tangible</t>
  </si>
  <si>
    <t>Detailed</t>
  </si>
  <si>
    <t>Mitigate risk, maintain compliance, or improve OHS</t>
  </si>
  <si>
    <t>No impact</t>
  </si>
  <si>
    <t>Contribute</t>
  </si>
  <si>
    <t>Mitigate</t>
  </si>
  <si>
    <t>Eliminate</t>
  </si>
  <si>
    <t>Urgency to start</t>
  </si>
  <si>
    <t>Timing flexible</t>
  </si>
  <si>
    <t>Can wait 1 y</t>
  </si>
  <si>
    <t>Can wait 6 mo</t>
  </si>
  <si>
    <t>Critical</t>
  </si>
  <si>
    <t>Stakeholder readiness</t>
  </si>
  <si>
    <t>To be assessed</t>
  </si>
  <si>
    <t>Change identified</t>
  </si>
  <si>
    <t>Will be ready</t>
  </si>
  <si>
    <t>All ready</t>
  </si>
  <si>
    <t>Executive Sponsor's experience in similar projects</t>
  </si>
  <si>
    <t>Extensive</t>
  </si>
  <si>
    <t>Comparable</t>
  </si>
  <si>
    <t>Some</t>
  </si>
  <si>
    <t>Overall complexity of the desired outcome</t>
  </si>
  <si>
    <t>Simple</t>
  </si>
  <si>
    <t>Some changes</t>
  </si>
  <si>
    <t>Number of benefit owners involved</t>
  </si>
  <si>
    <t>1</t>
  </si>
  <si>
    <t>2 – 3</t>
  </si>
  <si>
    <t>CONFIDENCE IN DELIVERING THE PROJECT</t>
  </si>
  <si>
    <t>Number of key stakeholders or groups impacted</t>
  </si>
  <si>
    <t>Studies and experience tells this factor is much more significant for success than many others.</t>
  </si>
  <si>
    <t>Changes to procedures, processes or work practices?</t>
  </si>
  <si>
    <t>Overall complexity of the outputs</t>
  </si>
  <si>
    <t>Level of innovation expected</t>
  </si>
  <si>
    <t>Some features</t>
  </si>
  <si>
    <t>New to ACU</t>
  </si>
  <si>
    <t>New to sector</t>
  </si>
  <si>
    <t>Interfacing expected with or impacts (dependencies) to other systems / products</t>
  </si>
  <si>
    <t>Few</t>
  </si>
  <si>
    <t>Future process collects, uses, stores or discloses personal information?</t>
  </si>
  <si>
    <t>Personal</t>
  </si>
  <si>
    <t>Sensitive</t>
  </si>
  <si>
    <t>Health information</t>
  </si>
  <si>
    <t>ACU familiarity with the potential product / system type?</t>
  </si>
  <si>
    <t>How good fit or match to ACU are the solutions available to us?</t>
  </si>
  <si>
    <t>Confidence that the right resources are available</t>
  </si>
  <si>
    <t>Secured</t>
  </si>
  <si>
    <t>High</t>
  </si>
  <si>
    <t>Medium</t>
  </si>
  <si>
    <t>Low</t>
  </si>
  <si>
    <t>Stability of requirements</t>
  </si>
  <si>
    <t>Mandated</t>
  </si>
  <si>
    <t>Stable</t>
  </si>
  <si>
    <t>Average</t>
  </si>
  <si>
    <t>Unstable</t>
  </si>
  <si>
    <t>Delivery schedules / deadlines</t>
  </si>
  <si>
    <t>Free</t>
  </si>
  <si>
    <t>Flexible</t>
  </si>
  <si>
    <t>Firm</t>
  </si>
  <si>
    <t>Likely duration of the implementation (until project closure)</t>
  </si>
  <si>
    <t>6 - 12 mo</t>
  </si>
  <si>
    <t>1 - 2 years</t>
  </si>
  <si>
    <t>2+ years</t>
  </si>
  <si>
    <t>Cost level of the impementation</t>
  </si>
  <si>
    <t>≤ $150 K</t>
  </si>
  <si>
    <t>≤ $250 K</t>
  </si>
  <si>
    <t>≤ $2 M</t>
  </si>
  <si>
    <t>$2+ M</t>
  </si>
  <si>
    <t>Contribution</t>
  </si>
  <si>
    <t>Benefits $M</t>
  </si>
  <si>
    <t>Benefits %</t>
  </si>
  <si>
    <t>Cost $M</t>
  </si>
  <si>
    <t>Capacity</t>
  </si>
  <si>
    <t>Delivery %</t>
  </si>
  <si>
    <t>ROI</t>
  </si>
  <si>
    <t>EXPLANATIONS TO THE QUESTIONS IN THE ASSESSMENT</t>
  </si>
  <si>
    <t>The strength of the Proposal</t>
  </si>
  <si>
    <t>Option A</t>
  </si>
  <si>
    <t>Option B</t>
  </si>
  <si>
    <t>Option C</t>
  </si>
  <si>
    <t>Option D</t>
  </si>
  <si>
    <t>The expected size of the change</t>
  </si>
  <si>
    <t>ADDITIONAL QUESTIONS IN THE FULL ASSESSMENT</t>
  </si>
  <si>
    <t>The strength of the Business Case</t>
  </si>
  <si>
    <t>Mitigate risk, maintain compliance,
or improve OHS</t>
  </si>
  <si>
    <t>Work required to convert outputs into outcome</t>
  </si>
  <si>
    <t>Potential cost level of the impementation</t>
  </si>
  <si>
    <t>LOOKUPS USED IN THIS WORKBOOK</t>
  </si>
  <si>
    <t>Please do not alter these without consultation with the Portfolio Projects Office (PPO)</t>
  </si>
  <si>
    <t>% CALCULATIONS AND WEIGHTS FOR THE RESULTS</t>
  </si>
  <si>
    <t>Sum</t>
  </si>
  <si>
    <t>Weights:</t>
  </si>
  <si>
    <t>Weighs can be adjusted but need prior consultation with PPO.</t>
  </si>
  <si>
    <t>Subtotals:</t>
  </si>
  <si>
    <t>Formulas are intended to remain as they are.</t>
  </si>
  <si>
    <t>Ratio:</t>
  </si>
  <si>
    <t>These values are used for the radar chart on the Results sheet.</t>
  </si>
  <si>
    <t>LOOKUPS FOR MAGNITUDE</t>
  </si>
  <si>
    <t>Contractor cost</t>
  </si>
  <si>
    <t>per resource per day</t>
  </si>
  <si>
    <t>A typical daily fee. Can be adjusted but need prior consultation with PPO or Finance.</t>
  </si>
  <si>
    <t>Operational team cost</t>
  </si>
  <si>
    <t>per person per day</t>
  </si>
  <si>
    <t>An average staff cost per workday. Can be adjusted but need prior consultation with PPO or Finance.</t>
  </si>
  <si>
    <t>Total resource cost (at 1 FTE)</t>
  </si>
  <si>
    <t>Multiplier</t>
  </si>
  <si>
    <t>Based on process, system, uncertainties.</t>
  </si>
  <si>
    <t>PROJECT MAGNITUDE</t>
  </si>
  <si>
    <t>Suggested magnitude based on the calculations.</t>
  </si>
  <si>
    <t>Operational</t>
  </si>
  <si>
    <t>Simple or medium</t>
  </si>
  <si>
    <t>Medium or complex</t>
  </si>
  <si>
    <t>LOOKUPS FOR SIZE OF BENEFITS</t>
  </si>
  <si>
    <t>Value</t>
  </si>
  <si>
    <t>FINANCIAL BENEFITS AND EXPENSES IN THE PROPOSAL AND BUSINESS CASE</t>
  </si>
  <si>
    <t>The impact of the resulting confidence ratings to the benefits and expenses is introduced below.</t>
  </si>
  <si>
    <t>Best case</t>
  </si>
  <si>
    <t>Projected</t>
  </si>
  <si>
    <t>Worst case</t>
  </si>
  <si>
    <t>Financial benefits</t>
  </si>
  <si>
    <t>Benefits achieved in full
without potential deductions.</t>
  </si>
  <si>
    <t>Deduct 1/2 of the difference from 100%.</t>
  </si>
  <si>
    <t>Deduct the difference from 100%.</t>
  </si>
  <si>
    <t>Project expenses</t>
  </si>
  <si>
    <t>Optimistic estimate.</t>
  </si>
  <si>
    <t>Optimistic estimate plus
half of the difference between confidence % and 100%.</t>
  </si>
  <si>
    <t>Optimistic estimate plus
the difference between
confidence % and 100%</t>
  </si>
  <si>
    <t>Example</t>
  </si>
  <si>
    <t>Best case estimate</t>
  </si>
  <si>
    <t>80% of the estimate</t>
  </si>
  <si>
    <t>60% of the estimate</t>
  </si>
  <si>
    <t>Benefits: 60%</t>
  </si>
  <si>
    <t>Delivery: 80%</t>
  </si>
  <si>
    <t>Add (100% - 90%) = 10% to the estimate.</t>
  </si>
  <si>
    <t>Add (100% - 80%) = 20% to the estimate.</t>
  </si>
  <si>
    <t>If you have done a detailed assessment of risks and calculated the cost of your most significant risks and</t>
  </si>
  <si>
    <t>deduction of benefits, you can use those figures to inform your Project Business Case.</t>
  </si>
  <si>
    <t>Benefits in full
without potential deductions.</t>
  </si>
  <si>
    <t>Full benefits less
deductions from all risks.</t>
  </si>
  <si>
    <t>Optimistic estimate plus
costs of significant risks.</t>
  </si>
  <si>
    <t>Optimistic estimate plus
costs of all risks.</t>
  </si>
  <si>
    <t>Product</t>
  </si>
  <si>
    <t>Overall product  /  system</t>
  </si>
  <si>
    <t xml:space="preserve">Technology impact </t>
  </si>
  <si>
    <t>Organisational impact  /  HR processes</t>
  </si>
  <si>
    <t>Business process ownership</t>
  </si>
  <si>
    <t>Embedded</t>
  </si>
  <si>
    <t>Data definition change / impact</t>
  </si>
  <si>
    <t>Interface to other systems / products</t>
  </si>
  <si>
    <t>New business / procedures alterations</t>
  </si>
  <si>
    <t>Performance requirements incl. quality</t>
  </si>
  <si>
    <t>Technology requirements</t>
  </si>
  <si>
    <t>Complexity of target system environment</t>
  </si>
  <si>
    <t>Level of technical innovation</t>
  </si>
  <si>
    <t>Innovative</t>
  </si>
  <si>
    <t>Team</t>
  </si>
  <si>
    <t>Intrinsic team skills (general, interpersonal)</t>
  </si>
  <si>
    <t>Relevant skill level with product / system type</t>
  </si>
  <si>
    <t>Project manager experience</t>
  </si>
  <si>
    <t>Use of contractors / part-timers</t>
  </si>
  <si>
    <t>Project development length</t>
  </si>
  <si>
    <t>&lt; 6 months</t>
  </si>
  <si>
    <t>6 – 12 months</t>
  </si>
  <si>
    <t>&gt; 12 months</t>
  </si>
  <si>
    <t>Project dependency upon external vendors</t>
  </si>
  <si>
    <t>Degree of co-location of team</t>
  </si>
  <si>
    <t>One room</t>
  </si>
  <si>
    <t>One building</t>
  </si>
  <si>
    <t xml:space="preserve">Virtual </t>
  </si>
  <si>
    <t>Schedules / Deadlines</t>
  </si>
  <si>
    <t>Fixed</t>
  </si>
  <si>
    <t>Priority for project team</t>
  </si>
  <si>
    <t>Team experience with product or hardware / software infrastructure</t>
  </si>
  <si>
    <t>Project team physical / support environment</t>
  </si>
  <si>
    <t>Excellent</t>
  </si>
  <si>
    <t>Poor</t>
  </si>
  <si>
    <t>Environment/Stakeholders</t>
  </si>
  <si>
    <t>Level of stakeholder support</t>
  </si>
  <si>
    <t>Stakeholder experience with project type</t>
  </si>
  <si>
    <t>Sponsor support</t>
  </si>
  <si>
    <t>Impact on business operations (new technology, procedures, etc.)</t>
  </si>
  <si>
    <t>Degree of change management required</t>
  </si>
  <si>
    <t>Stakeholder participation</t>
  </si>
  <si>
    <t>Full-time</t>
  </si>
  <si>
    <t>Part-time</t>
  </si>
  <si>
    <t>Ad-hoc</t>
  </si>
  <si>
    <t>Critical dependence upon related projects</t>
  </si>
  <si>
    <t>Number of business groups involved</t>
  </si>
  <si>
    <t>&gt; 3</t>
  </si>
  <si>
    <t>Critical stakeholders</t>
  </si>
  <si>
    <t>&lt; 3</t>
  </si>
  <si>
    <t>&gt; 10</t>
  </si>
  <si>
    <t>Benefits value chain</t>
  </si>
  <si>
    <t>Overall outputs</t>
  </si>
  <si>
    <t>Outcome complexity</t>
  </si>
  <si>
    <t>Size of  total financial benefits</t>
  </si>
  <si>
    <t>&gt; $5Mill</t>
  </si>
  <si>
    <t>$1 - $5Mill</t>
  </si>
  <si>
    <t>&lt; $1Mill</t>
  </si>
  <si>
    <t>Expected pay-back period</t>
  </si>
  <si>
    <t>&lt; 1 Year</t>
  </si>
  <si>
    <t>2 Years</t>
  </si>
  <si>
    <t>&gt; 2 Years</t>
  </si>
  <si>
    <t>Impact of non-financial benefits</t>
  </si>
  <si>
    <t>Time for outputs to become outcomes</t>
  </si>
  <si>
    <t>&lt; 3 Months</t>
  </si>
  <si>
    <t>4 Months –1 Yr</t>
  </si>
  <si>
    <t>&gt; 1 Year</t>
  </si>
  <si>
    <t>Output / Outcomes impact on stakeholders / customers</t>
  </si>
  <si>
    <t>Positive</t>
  </si>
  <si>
    <t>Negative</t>
  </si>
  <si>
    <t>Complexity of benefit realisation chain</t>
  </si>
  <si>
    <t>Direct to outcome</t>
  </si>
  <si>
    <t>Outcome to impact</t>
  </si>
  <si>
    <t>Beyond impact</t>
  </si>
  <si>
    <t>Complexity of support processes</t>
  </si>
  <si>
    <t>Benefits realisation process</t>
  </si>
  <si>
    <t>Complexity of business process change required</t>
  </si>
  <si>
    <t>Degree of cultural, business process change required</t>
  </si>
  <si>
    <t>Organisational openness to change</t>
  </si>
  <si>
    <t>Open</t>
  </si>
  <si>
    <t>Resistant</t>
  </si>
  <si>
    <t>Number of PU leaders / benefit owners involved</t>
  </si>
  <si>
    <t>2 – 10</t>
  </si>
  <si>
    <t>Number of external stakeholders groups involved</t>
  </si>
  <si>
    <t>&gt; 1</t>
  </si>
  <si>
    <t>Percentage of organisation impacted by realisation process</t>
  </si>
  <si>
    <t>&lt; 10%</t>
  </si>
  <si>
    <t>10 – 25%</t>
  </si>
  <si>
    <t>&gt; 25%</t>
  </si>
  <si>
    <t>Benefits realisation governance</t>
  </si>
  <si>
    <t>Sponsor experience in similar projects</t>
  </si>
  <si>
    <t>Impact on sponsor (career, KPI, etc.)</t>
  </si>
  <si>
    <t>Impact on NAB operations (new technology, procedures, etc.) from lack of realisation</t>
  </si>
  <si>
    <t>Expectation of sponsor remaining throughout realisation</t>
  </si>
  <si>
    <t>Certain</t>
  </si>
  <si>
    <t>Likely</t>
  </si>
  <si>
    <t>RESULTING PROJECT CATEGORIES</t>
  </si>
  <si>
    <t>The results are used to inform the approval and funding decisions and governance arrangements.</t>
  </si>
  <si>
    <t>The project category is always agreed to with the Executive Sponsor and the Portfolio Projects Office (PPO), using the information in this assessment.</t>
  </si>
  <si>
    <t>A preliminary agreement is made before the submission of a Proposal for Business Change and finalised before the submission of a Project Business Case.</t>
  </si>
  <si>
    <t>The achievability rating is the primary score used to estimate the category but the final determination uses all the information in the assessment.</t>
  </si>
  <si>
    <r>
      <rPr>
        <b/>
        <sz val="11"/>
        <color theme="1"/>
        <rFont val="Tahoma"/>
        <family val="2"/>
      </rPr>
      <t>Simple</t>
    </r>
    <r>
      <rPr>
        <sz val="11"/>
        <color theme="1"/>
        <rFont val="Tahoma"/>
        <family val="2"/>
      </rPr>
      <t xml:space="preserve"> - High confidence in delivering the project and achieving benefits. Low risk, low complexity, single stage. Mostly operationally funded, typically max $250K. Rating 76-100%.</t>
    </r>
  </si>
  <si>
    <r>
      <rPr>
        <b/>
        <sz val="11"/>
        <color theme="1"/>
        <rFont val="Tahoma"/>
        <family val="2"/>
      </rPr>
      <t>Medium</t>
    </r>
    <r>
      <rPr>
        <sz val="11"/>
        <color theme="1"/>
        <rFont val="Tahoma"/>
        <family val="2"/>
      </rPr>
      <t xml:space="preserve"> - Moderate confidence. Moderate risk, can be high complexity. Often a mix of operational and capital funding, max $2M (for all project stages). Rating 51-75%.</t>
    </r>
  </si>
  <si>
    <t>The triage relies on an interview with the Executive Sponsor and a checklist, but can also use the early assessment from this workbook.</t>
  </si>
  <si>
    <t>Impact on students (while delivering)</t>
  </si>
  <si>
    <t>Impact on staff (while delivering)</t>
  </si>
  <si>
    <t>Impact on external partners (while delivering)</t>
  </si>
  <si>
    <t>It shows the strength of the proposal, and our confidence for fully achieving the desired outcome.</t>
  </si>
  <si>
    <t>When the most right-hand option is selected in any question, that aspect is a potential risk to the benefits or delivery. In this case, an action or mitigation plan is recommended.</t>
  </si>
  <si>
    <t>Once you have a Financial Model for the (potential) project, enter the value of financial benefits and project expenses from the Results to cells D11:D12 in the Financial Summary.</t>
  </si>
  <si>
    <r>
      <rPr>
        <b/>
        <sz val="11"/>
        <color theme="1"/>
        <rFont val="Tahoma"/>
        <family val="2"/>
      </rPr>
      <t>Complex</t>
    </r>
    <r>
      <rPr>
        <sz val="11"/>
        <color theme="1"/>
        <rFont val="Tahoma"/>
        <family val="2"/>
      </rPr>
      <t xml:space="preserve"> - Low confidence. High risks, high complexity. Usually majority or completely capital funded, can be above $2M (for all project stages). Rating 15-50%.</t>
    </r>
  </si>
  <si>
    <t>--&gt; Governed by the Executive Sponsor (1). Financial model can be developed by the sponsor and SME's but is reviewed by Finance.</t>
  </si>
  <si>
    <t>--&gt; Governed by a Project Board (3). Financial model is guided and reviewed by Finance, please engage them at the latest when starting to develop a Project Business Case.</t>
  </si>
  <si>
    <t>--&gt; Governed by a Steering Committee (7). Financial model is developed by Finance, please engage them at the latest when starting to develop a Project Business Case.</t>
  </si>
  <si>
    <t>Time required to convert project outputs into the final outcome</t>
  </si>
  <si>
    <t>Work required to convert project outputs into the final outcome</t>
  </si>
  <si>
    <t>Lower</t>
  </si>
  <si>
    <t>Upper</t>
  </si>
  <si>
    <t>Full benefits less deductions
based on significant risks.</t>
  </si>
  <si>
    <t>Enter the project or change name to the top of the Early assessment worksheet (cell C2).</t>
  </si>
  <si>
    <r>
      <rPr>
        <b/>
        <sz val="11"/>
        <color theme="1"/>
        <rFont val="Arial"/>
        <family val="2"/>
      </rPr>
      <t>None</t>
    </r>
    <r>
      <rPr>
        <sz val="11"/>
        <color theme="1"/>
        <rFont val="Arial"/>
        <family val="2"/>
      </rPr>
      <t xml:space="preserve"> - The change is not linked to any of ACU's expressed goals or priorities.</t>
    </r>
  </si>
  <si>
    <r>
      <rPr>
        <b/>
        <sz val="11"/>
        <color theme="1"/>
        <rFont val="Arial"/>
        <family val="2"/>
      </rPr>
      <t>Compliance</t>
    </r>
    <r>
      <rPr>
        <sz val="11"/>
        <color theme="1"/>
        <rFont val="Arial"/>
        <family val="2"/>
      </rPr>
      <t xml:space="preserve"> - Mandatory for regulatory or WHS compliance reasons. Please reference the respective regulation or policy.</t>
    </r>
  </si>
  <si>
    <r>
      <rPr>
        <b/>
        <sz val="11"/>
        <color theme="1"/>
        <rFont val="Arial"/>
        <family val="2"/>
      </rPr>
      <t>No change</t>
    </r>
    <r>
      <rPr>
        <sz val="11"/>
        <color theme="1"/>
        <rFont val="Arial"/>
        <family val="2"/>
      </rPr>
      <t xml:space="preserve"> - This change is not expected to alter the student experience.</t>
    </r>
  </si>
  <si>
    <r>
      <rPr>
        <b/>
        <sz val="11"/>
        <color theme="1"/>
        <rFont val="Arial"/>
        <family val="2"/>
      </rPr>
      <t>Adjust</t>
    </r>
    <r>
      <rPr>
        <sz val="11"/>
        <color theme="1"/>
        <rFont val="Arial"/>
        <family val="2"/>
      </rPr>
      <t xml:space="preserve"> - A refinement of an existing student experience or service.</t>
    </r>
  </si>
  <si>
    <r>
      <rPr>
        <b/>
        <sz val="11"/>
        <color theme="1"/>
        <rFont val="Arial"/>
        <family val="2"/>
      </rPr>
      <t>Change</t>
    </r>
    <r>
      <rPr>
        <sz val="11"/>
        <color theme="1"/>
        <rFont val="Arial"/>
        <family val="2"/>
      </rPr>
      <t xml:space="preserve"> - A distinct change or addition to an existing student experience or service.</t>
    </r>
  </si>
  <si>
    <r>
      <rPr>
        <b/>
        <sz val="11"/>
        <color theme="1"/>
        <rFont val="Arial"/>
        <family val="2"/>
      </rPr>
      <t>New service</t>
    </r>
    <r>
      <rPr>
        <sz val="11"/>
        <color theme="1"/>
        <rFont val="Arial"/>
        <family val="2"/>
      </rPr>
      <t xml:space="preserve"> - Developing new or redesigning experiences or services, transforming what is offered in an area.</t>
    </r>
  </si>
  <si>
    <r>
      <rPr>
        <b/>
        <sz val="11"/>
        <color theme="1"/>
        <rFont val="Arial"/>
        <family val="2"/>
      </rPr>
      <t>No change</t>
    </r>
    <r>
      <rPr>
        <sz val="11"/>
        <color theme="1"/>
        <rFont val="Arial"/>
        <family val="2"/>
      </rPr>
      <t xml:space="preserve"> - This change is not expected to alter the staff experience.</t>
    </r>
  </si>
  <si>
    <r>
      <rPr>
        <b/>
        <sz val="11"/>
        <color theme="1"/>
        <rFont val="Arial"/>
        <family val="2"/>
      </rPr>
      <t>Adjust</t>
    </r>
    <r>
      <rPr>
        <sz val="11"/>
        <color theme="1"/>
        <rFont val="Arial"/>
        <family val="2"/>
      </rPr>
      <t xml:space="preserve"> - A refinement of an existing staff experience or service.</t>
    </r>
  </si>
  <si>
    <r>
      <rPr>
        <b/>
        <sz val="11"/>
        <color theme="1"/>
        <rFont val="Arial"/>
        <family val="2"/>
      </rPr>
      <t>Change</t>
    </r>
    <r>
      <rPr>
        <sz val="11"/>
        <color theme="1"/>
        <rFont val="Arial"/>
        <family val="2"/>
      </rPr>
      <t xml:space="preserve"> - A distinct change or addition to an existing staff experience or service.</t>
    </r>
  </si>
  <si>
    <r>
      <rPr>
        <b/>
        <sz val="11"/>
        <color theme="1"/>
        <rFont val="Arial"/>
        <family val="2"/>
      </rPr>
      <t>No change</t>
    </r>
    <r>
      <rPr>
        <sz val="11"/>
        <color theme="1"/>
        <rFont val="Arial"/>
        <family val="2"/>
      </rPr>
      <t xml:space="preserve"> - This change is not expected to improve the current operational efficiency, or the improvement is hard to measure.</t>
    </r>
  </si>
  <si>
    <r>
      <rPr>
        <b/>
        <sz val="11"/>
        <color theme="1"/>
        <rFont val="Arial"/>
        <family val="2"/>
      </rPr>
      <t>Slight</t>
    </r>
    <r>
      <rPr>
        <sz val="11"/>
        <color theme="1"/>
        <rFont val="Arial"/>
        <family val="2"/>
      </rPr>
      <t xml:space="preserve"> - Slight improvement in operations. Change 1 - 10% in time or cost of a service of function.</t>
    </r>
  </si>
  <si>
    <r>
      <rPr>
        <b/>
        <sz val="11"/>
        <color theme="1"/>
        <rFont val="Arial"/>
        <family val="2"/>
      </rPr>
      <t>Measurable</t>
    </r>
    <r>
      <rPr>
        <sz val="11"/>
        <color theme="1"/>
        <rFont val="Arial"/>
        <family val="2"/>
      </rPr>
      <t xml:space="preserve"> - Measurable adjustments in operations. Change 11 - 20% in time or cost of a service of function.</t>
    </r>
  </si>
  <si>
    <r>
      <rPr>
        <b/>
        <sz val="11"/>
        <color theme="1"/>
        <rFont val="Arial"/>
        <family val="2"/>
      </rPr>
      <t>Significant</t>
    </r>
    <r>
      <rPr>
        <sz val="11"/>
        <color theme="1"/>
        <rFont val="Arial"/>
        <family val="2"/>
      </rPr>
      <t xml:space="preserve"> - Significant improvement in operations through a changed process or system. The service capacity changes significantly, more than 20% in time or cost of the service of function.</t>
    </r>
  </si>
  <si>
    <r>
      <rPr>
        <b/>
        <sz val="11"/>
        <color theme="1"/>
        <rFont val="Arial"/>
        <family val="2"/>
      </rPr>
      <t>Local</t>
    </r>
    <r>
      <rPr>
        <sz val="11"/>
        <color theme="1"/>
        <rFont val="Arial"/>
        <family val="2"/>
      </rPr>
      <t xml:space="preserve"> - Students in a faculty / school or staff on campus, or staff at a unit level (org unit level 4 or below).</t>
    </r>
  </si>
  <si>
    <r>
      <rPr>
        <b/>
        <sz val="11"/>
        <color theme="1"/>
        <rFont val="Arial"/>
        <family val="2"/>
      </rPr>
      <t>Faculty / Dir</t>
    </r>
    <r>
      <rPr>
        <sz val="11"/>
        <color theme="1"/>
        <rFont val="Arial"/>
        <family val="2"/>
      </rPr>
      <t xml:space="preserve"> - Single faculty / school or Directorate nationally (org unit level 3).</t>
    </r>
  </si>
  <si>
    <r>
      <rPr>
        <b/>
        <sz val="11"/>
        <color theme="1"/>
        <rFont val="Arial"/>
        <family val="2"/>
      </rPr>
      <t>Portfolio</t>
    </r>
    <r>
      <rPr>
        <sz val="11"/>
        <color theme="1"/>
        <rFont val="Arial"/>
        <family val="2"/>
      </rPr>
      <t xml:space="preserve"> - Students in multiple faculties or state-wide (e.g. MEL &amp; BAL), or a portfolio nationally.</t>
    </r>
  </si>
  <si>
    <r>
      <rPr>
        <b/>
        <sz val="11"/>
        <color theme="1"/>
        <rFont val="Arial"/>
        <family val="2"/>
      </rPr>
      <t>All / national</t>
    </r>
    <r>
      <rPr>
        <sz val="11"/>
        <color theme="1"/>
        <rFont val="Arial"/>
        <family val="2"/>
      </rPr>
      <t xml:space="preserve"> - All students or all staff nationally.</t>
    </r>
  </si>
  <si>
    <r>
      <rPr>
        <b/>
        <sz val="11"/>
        <color theme="1"/>
        <rFont val="Arial"/>
        <family val="2"/>
      </rPr>
      <t>Remains as is</t>
    </r>
    <r>
      <rPr>
        <sz val="11"/>
        <color theme="1"/>
        <rFont val="Arial"/>
        <family val="2"/>
      </rPr>
      <t xml:space="preserve"> - The processes, work practices or services are expected to remain completely in their current state.</t>
    </r>
  </si>
  <si>
    <r>
      <rPr>
        <b/>
        <sz val="11"/>
        <color theme="1"/>
        <rFont val="Arial"/>
        <family val="2"/>
      </rPr>
      <t>Adjust</t>
    </r>
    <r>
      <rPr>
        <sz val="11"/>
        <color theme="1"/>
        <rFont val="Arial"/>
        <family val="2"/>
      </rPr>
      <t xml:space="preserve"> - The processes, work practices or services will be slightly adjusted. E.g. some activities in a process are altered but the main flow remains similar.</t>
    </r>
  </si>
  <si>
    <r>
      <rPr>
        <b/>
        <sz val="11"/>
        <color theme="1"/>
        <rFont val="Arial"/>
        <family val="2"/>
      </rPr>
      <t>Change</t>
    </r>
    <r>
      <rPr>
        <sz val="11"/>
        <color theme="1"/>
        <rFont val="Arial"/>
        <family val="2"/>
      </rPr>
      <t xml:space="preserve"> - The processes, work practices or services will be clearly changed. This may involve changed tasks or skills for staff, or new ways to deliver a service.</t>
    </r>
  </si>
  <si>
    <r>
      <rPr>
        <b/>
        <sz val="11"/>
        <color theme="1"/>
        <rFont val="Arial"/>
        <family val="2"/>
      </rPr>
      <t>Redesign / new</t>
    </r>
    <r>
      <rPr>
        <sz val="11"/>
        <color theme="1"/>
        <rFont val="Arial"/>
        <family val="2"/>
      </rPr>
      <t xml:space="preserve"> - The processes, work practices or services are redesigned and will change significantly. The future tasks or expected knowledge / skills will clearly differ from the current state.</t>
    </r>
  </si>
  <si>
    <r>
      <rPr>
        <b/>
        <sz val="11"/>
        <color theme="1"/>
        <rFont val="Arial"/>
        <family val="2"/>
      </rPr>
      <t>No system</t>
    </r>
    <r>
      <rPr>
        <sz val="11"/>
        <color theme="1"/>
        <rFont val="Arial"/>
        <family val="2"/>
      </rPr>
      <t xml:space="preserve"> - This is a process or practice change with no impact to any of the current systems.</t>
    </r>
  </si>
  <si>
    <r>
      <rPr>
        <b/>
        <sz val="11"/>
        <color theme="1"/>
        <rFont val="Arial"/>
        <family val="2"/>
      </rPr>
      <t>Single function</t>
    </r>
    <r>
      <rPr>
        <sz val="11"/>
        <color theme="1"/>
        <rFont val="Arial"/>
        <family val="2"/>
      </rPr>
      <t xml:space="preserve"> - A system for 1-2 dedicated functions is implemented.</t>
    </r>
  </si>
  <si>
    <r>
      <rPr>
        <b/>
        <sz val="11"/>
        <color theme="1"/>
        <rFont val="Arial"/>
        <family val="2"/>
      </rPr>
      <t>Multi-function</t>
    </r>
    <r>
      <rPr>
        <sz val="11"/>
        <color theme="1"/>
        <rFont val="Arial"/>
        <family val="2"/>
      </rPr>
      <t xml:space="preserve"> - A system with several functions is implemented. The functions typically cover multiple units in ACU.</t>
    </r>
  </si>
  <si>
    <r>
      <rPr>
        <b/>
        <sz val="11"/>
        <color theme="1"/>
        <rFont val="Arial"/>
        <family val="2"/>
      </rPr>
      <t>Core system</t>
    </r>
    <r>
      <rPr>
        <sz val="11"/>
        <color theme="1"/>
        <rFont val="Arial"/>
        <family val="2"/>
      </rPr>
      <t xml:space="preserve"> - A centralised core system which underpins multiple services (similar to Aurion, Banner, LEO, etc).</t>
    </r>
  </si>
  <si>
    <r>
      <rPr>
        <b/>
        <sz val="11"/>
        <color theme="1"/>
        <rFont val="Arial"/>
        <family val="2"/>
      </rPr>
      <t>We know this well</t>
    </r>
    <r>
      <rPr>
        <sz val="11"/>
        <color theme="1"/>
        <rFont val="Arial"/>
        <family val="2"/>
      </rPr>
      <t xml:space="preserve"> - The change is well defined and already analysed. There are no open questions or uncertainties.</t>
    </r>
  </si>
  <si>
    <r>
      <rPr>
        <b/>
        <sz val="11"/>
        <color theme="1"/>
        <rFont val="Arial"/>
        <family val="2"/>
      </rPr>
      <t>Some questions</t>
    </r>
    <r>
      <rPr>
        <sz val="11"/>
        <color theme="1"/>
        <rFont val="Arial"/>
        <family val="2"/>
      </rPr>
      <t xml:space="preserve"> - The change is generally understood but some questions still remain to be answered.</t>
    </r>
  </si>
  <si>
    <r>
      <rPr>
        <b/>
        <sz val="11"/>
        <color theme="1"/>
        <rFont val="Arial"/>
        <family val="2"/>
      </rPr>
      <t>Known unknowns</t>
    </r>
    <r>
      <rPr>
        <sz val="11"/>
        <color theme="1"/>
        <rFont val="Arial"/>
        <family val="2"/>
      </rPr>
      <t xml:space="preserve"> - The change is outlined but there are several significant aspects still to resolve. However, those aspects have been identified.</t>
    </r>
  </si>
  <si>
    <r>
      <rPr>
        <b/>
        <sz val="11"/>
        <color theme="1"/>
        <rFont val="Arial"/>
        <family val="2"/>
      </rPr>
      <t>"Don't know"</t>
    </r>
    <r>
      <rPr>
        <sz val="11"/>
        <color theme="1"/>
        <rFont val="Arial"/>
        <family val="2"/>
      </rPr>
      <t xml:space="preserve"> - While we know what is needed, there are likely to be aspects we are yet to discover and resolve.</t>
    </r>
  </si>
  <si>
    <r>
      <rPr>
        <b/>
        <sz val="11"/>
        <color theme="1"/>
        <rFont val="Arial"/>
        <family val="2"/>
      </rPr>
      <t>&lt; 25%</t>
    </r>
    <r>
      <rPr>
        <sz val="11"/>
        <color theme="1"/>
        <rFont val="Arial"/>
        <family val="2"/>
      </rPr>
      <t xml:space="preserve"> - Under 25% of the work effort is likely to be done using external contractors or capital-funded staff.</t>
    </r>
  </si>
  <si>
    <r>
      <rPr>
        <b/>
        <sz val="11"/>
        <color theme="1"/>
        <rFont val="Arial"/>
        <family val="2"/>
      </rPr>
      <t>&lt; 50%</t>
    </r>
    <r>
      <rPr>
        <sz val="11"/>
        <color theme="1"/>
        <rFont val="Arial"/>
        <family val="2"/>
      </rPr>
      <t xml:space="preserve"> - 25% - 50% of the work effort is likely to be done using external contractors or capital-funded staff.</t>
    </r>
  </si>
  <si>
    <r>
      <rPr>
        <b/>
        <sz val="11"/>
        <color theme="1"/>
        <rFont val="Arial"/>
        <family val="2"/>
      </rPr>
      <t>&lt; 75%</t>
    </r>
    <r>
      <rPr>
        <sz val="11"/>
        <color theme="1"/>
        <rFont val="Arial"/>
        <family val="2"/>
      </rPr>
      <t xml:space="preserve"> - 50% - 75% of the work effort is likely to be done using external contractors or capital-funded staff.</t>
    </r>
  </si>
  <si>
    <r>
      <rPr>
        <b/>
        <sz val="11"/>
        <color theme="1"/>
        <rFont val="Arial"/>
        <family val="2"/>
      </rPr>
      <t>&gt; 75%</t>
    </r>
    <r>
      <rPr>
        <sz val="11"/>
        <color theme="1"/>
        <rFont val="Arial"/>
        <family val="2"/>
      </rPr>
      <t xml:space="preserve"> - More than 75% of the work effort is likely to be done using external contractors or capital-funded staff.</t>
    </r>
  </si>
  <si>
    <r>
      <rPr>
        <b/>
        <sz val="11"/>
        <color theme="1"/>
        <rFont val="Arial"/>
        <family val="2"/>
      </rPr>
      <t>&lt; 6 mo</t>
    </r>
    <r>
      <rPr>
        <sz val="11"/>
        <color theme="1"/>
        <rFont val="Arial"/>
        <family val="2"/>
      </rPr>
      <t xml:space="preserve"> - The project to implement outputs can be carried out in less than 6 months.</t>
    </r>
  </si>
  <si>
    <r>
      <rPr>
        <b/>
        <sz val="11"/>
        <color theme="1"/>
        <rFont val="Arial"/>
        <family val="2"/>
      </rPr>
      <t>&lt; 12 mo</t>
    </r>
    <r>
      <rPr>
        <sz val="11"/>
        <color theme="1"/>
        <rFont val="Arial"/>
        <family val="2"/>
      </rPr>
      <t xml:space="preserve"> - The project to implement outputs is likely to take 6 - 12 months.</t>
    </r>
  </si>
  <si>
    <r>
      <rPr>
        <b/>
        <sz val="11"/>
        <color theme="1"/>
        <rFont val="Arial"/>
        <family val="2"/>
      </rPr>
      <t>&lt; 18 mo</t>
    </r>
    <r>
      <rPr>
        <sz val="11"/>
        <color theme="1"/>
        <rFont val="Arial"/>
        <family val="2"/>
      </rPr>
      <t xml:space="preserve"> - The project to implement outputs is likely to take 12 - 18 monts.</t>
    </r>
  </si>
  <si>
    <r>
      <rPr>
        <b/>
        <sz val="11"/>
        <color theme="1"/>
        <rFont val="Arial"/>
        <family val="2"/>
      </rPr>
      <t>&gt; 18 mo</t>
    </r>
    <r>
      <rPr>
        <sz val="11"/>
        <color theme="1"/>
        <rFont val="Arial"/>
        <family val="2"/>
      </rPr>
      <t xml:space="preserve"> - The project to implement outputs is likely to take more than 18 monts.</t>
    </r>
  </si>
  <si>
    <r>
      <rPr>
        <b/>
        <sz val="11"/>
        <color theme="1"/>
        <rFont val="Arial"/>
        <family val="2"/>
      </rPr>
      <t>Available</t>
    </r>
    <r>
      <rPr>
        <sz val="11"/>
        <color theme="1"/>
        <rFont val="Arial"/>
        <family val="2"/>
      </rPr>
      <t xml:space="preserve"> - The required expertise and staff is already available in ACU. Their engagement to the project may need to be negotiated.</t>
    </r>
  </si>
  <si>
    <r>
      <rPr>
        <b/>
        <sz val="11"/>
        <color theme="1"/>
        <rFont val="Arial"/>
        <family val="2"/>
      </rPr>
      <t>We can buy</t>
    </r>
    <r>
      <rPr>
        <sz val="11"/>
        <color theme="1"/>
        <rFont val="Arial"/>
        <family val="2"/>
      </rPr>
      <t xml:space="preserve"> - The required expertise and staff is either available in ACU or can easily be hired or sourced through agencies.</t>
    </r>
  </si>
  <si>
    <r>
      <rPr>
        <b/>
        <sz val="11"/>
        <color theme="1"/>
        <rFont val="Arial"/>
        <family val="2"/>
      </rPr>
      <t>Small gaps / delay</t>
    </r>
    <r>
      <rPr>
        <sz val="11"/>
        <color theme="1"/>
        <rFont val="Arial"/>
        <family val="2"/>
      </rPr>
      <t xml:space="preserve"> - We are likely to have some gaps in the expertise and staff required for the project. It may take time or increased cost to fill those gaps.</t>
    </r>
  </si>
  <si>
    <r>
      <rPr>
        <b/>
        <sz val="11"/>
        <color theme="1"/>
        <rFont val="Arial"/>
        <family val="2"/>
      </rPr>
      <t>Major gaps / delay</t>
    </r>
    <r>
      <rPr>
        <sz val="11"/>
        <color theme="1"/>
        <rFont val="Arial"/>
        <family val="2"/>
      </rPr>
      <t xml:space="preserve"> - We currently have clear gaps in the expertise and staff required for the project. Sourcing that expertise may take time or significant added cost.</t>
    </r>
  </si>
  <si>
    <r>
      <rPr>
        <b/>
        <sz val="11"/>
        <color theme="1"/>
        <rFont val="Arial"/>
        <family val="2"/>
      </rPr>
      <t>Easy</t>
    </r>
    <r>
      <rPr>
        <sz val="11"/>
        <color theme="1"/>
        <rFont val="Arial"/>
        <family val="2"/>
      </rPr>
      <t xml:space="preserve"> - Proposed changes to the current process or work practices are small and can be seen as adjustments to the current. They are easy to adopt.</t>
    </r>
  </si>
  <si>
    <r>
      <rPr>
        <b/>
        <sz val="11"/>
        <color theme="1"/>
        <rFont val="Arial"/>
        <family val="2"/>
      </rPr>
      <t xml:space="preserve">Well defined </t>
    </r>
    <r>
      <rPr>
        <sz val="11"/>
        <color theme="1"/>
        <rFont val="Arial"/>
        <family val="2"/>
      </rPr>
      <t>- Proposed changes to the process or work practices change some tasks or skills required. They are well defined and easy to train.</t>
    </r>
  </si>
  <si>
    <r>
      <rPr>
        <b/>
        <sz val="11"/>
        <color theme="1"/>
        <rFont val="Arial"/>
        <family val="2"/>
      </rPr>
      <t>Moderate</t>
    </r>
    <r>
      <rPr>
        <sz val="11"/>
        <color theme="1"/>
        <rFont val="Arial"/>
        <family val="2"/>
      </rPr>
      <t xml:space="preserve"> - Proposed changes to the process or work practices bring in a clearly different way of doing some tasks and designing the new is likely to require negotiation.</t>
    </r>
  </si>
  <si>
    <r>
      <rPr>
        <b/>
        <sz val="11"/>
        <color theme="1"/>
        <rFont val="Arial"/>
        <family val="2"/>
      </rPr>
      <t>Complex</t>
    </r>
    <r>
      <rPr>
        <sz val="11"/>
        <color theme="1"/>
        <rFont val="Arial"/>
        <family val="2"/>
      </rPr>
      <t xml:space="preserve"> - The design of future process or work practices is complicated and changes made to the current are significant. This often would involve a complex current processes.</t>
    </r>
  </si>
  <si>
    <r>
      <rPr>
        <b/>
        <sz val="11"/>
        <color theme="1"/>
        <rFont val="Arial"/>
        <family val="2"/>
      </rPr>
      <t>Improves work</t>
    </r>
    <r>
      <rPr>
        <sz val="11"/>
        <color theme="1"/>
        <rFont val="Arial"/>
        <family val="2"/>
      </rPr>
      <t xml:space="preserve"> - The changes are seen as positive steps forward in how the impacted stakeholders work or interact.</t>
    </r>
  </si>
  <si>
    <r>
      <rPr>
        <b/>
        <sz val="11"/>
        <color theme="1"/>
        <rFont val="Arial"/>
        <family val="2"/>
      </rPr>
      <t>Neutral</t>
    </r>
    <r>
      <rPr>
        <sz val="11"/>
        <color theme="1"/>
        <rFont val="Arial"/>
        <family val="2"/>
      </rPr>
      <t xml:space="preserve"> - The changes may get either a slightly mixed reception or the impacted stakeholders may not need to pay much attention to them.</t>
    </r>
  </si>
  <si>
    <r>
      <rPr>
        <b/>
        <sz val="11"/>
        <color theme="1"/>
        <rFont val="Arial"/>
        <family val="2"/>
      </rPr>
      <t>Have questions</t>
    </r>
    <r>
      <rPr>
        <sz val="11"/>
        <color theme="1"/>
        <rFont val="Arial"/>
        <family val="2"/>
      </rPr>
      <t xml:space="preserve"> - The changes may be questioned by some of the impacted stakeholders. This generally is to seek more information and assurance before accepting them.</t>
    </r>
  </si>
  <si>
    <r>
      <rPr>
        <b/>
        <sz val="11"/>
        <color theme="1"/>
        <rFont val="Arial"/>
        <family val="2"/>
      </rPr>
      <t>Some may oppose</t>
    </r>
    <r>
      <rPr>
        <sz val="11"/>
        <color theme="1"/>
        <rFont val="Arial"/>
        <family val="2"/>
      </rPr>
      <t xml:space="preserve"> - It is likely that at least some stakeholders would see changes being adverse and are likely to either oppose them or attempt to revert back to the current model.</t>
    </r>
  </si>
  <si>
    <r>
      <rPr>
        <b/>
        <sz val="11"/>
        <color theme="1"/>
        <rFont val="Arial"/>
        <family val="2"/>
      </rPr>
      <t>≤ 3 Mo</t>
    </r>
    <r>
      <rPr>
        <sz val="11"/>
        <color theme="1"/>
        <rFont val="Arial"/>
        <family val="2"/>
      </rPr>
      <t xml:space="preserve"> - The final outcome can be reached within three months from the delivery of final output.</t>
    </r>
  </si>
  <si>
    <r>
      <rPr>
        <b/>
        <sz val="11"/>
        <color theme="1"/>
        <rFont val="Arial"/>
        <family val="2"/>
      </rPr>
      <t>≤ 6 Mo</t>
    </r>
    <r>
      <rPr>
        <sz val="11"/>
        <color theme="1"/>
        <rFont val="Arial"/>
        <family val="2"/>
      </rPr>
      <t xml:space="preserve"> - The final outcome can be reached within six months from the delivery of final output.</t>
    </r>
  </si>
  <si>
    <r>
      <rPr>
        <b/>
        <sz val="11"/>
        <color theme="1"/>
        <rFont val="Arial"/>
        <family val="2"/>
      </rPr>
      <t>≤ 1 Year</t>
    </r>
    <r>
      <rPr>
        <sz val="11"/>
        <color theme="1"/>
        <rFont val="Arial"/>
        <family val="2"/>
      </rPr>
      <t xml:space="preserve"> - The final outcome can be reached within 3 - 12 months from the delivery of final output.</t>
    </r>
  </si>
  <si>
    <r>
      <rPr>
        <b/>
        <sz val="11"/>
        <color theme="1"/>
        <rFont val="Arial"/>
        <family val="2"/>
      </rPr>
      <t>&gt; 1 Year</t>
    </r>
    <r>
      <rPr>
        <sz val="11"/>
        <color theme="1"/>
        <rFont val="Arial"/>
        <family val="2"/>
      </rPr>
      <t xml:space="preserve"> - Reaching the final outcome is likely to take more than a year from the delivery of final output.</t>
    </r>
  </si>
  <si>
    <r>
      <rPr>
        <b/>
        <sz val="11"/>
        <color theme="1"/>
        <rFont val="Arial"/>
        <family val="2"/>
      </rPr>
      <t>1</t>
    </r>
    <r>
      <rPr>
        <sz val="11"/>
        <color theme="1"/>
        <rFont val="Arial"/>
        <family val="2"/>
      </rPr>
      <t xml:space="preserve"> - There is one stakeholder (or group) involved in the work to convert the outputs into the outcome and realise benefits. They are outside of the immediate team(s) using the outputs.</t>
    </r>
  </si>
  <si>
    <r>
      <rPr>
        <b/>
        <sz val="11"/>
        <color theme="1"/>
        <rFont val="Arial"/>
        <family val="2"/>
      </rPr>
      <t>2 - 3</t>
    </r>
    <r>
      <rPr>
        <sz val="11"/>
        <color theme="1"/>
        <rFont val="Arial"/>
        <family val="2"/>
      </rPr>
      <t xml:space="preserve"> - There are 2 -3 stakeholders (or groups) involved in the work to convert the outputs into the outcome and realise benefits. They are outside of the immediate team(s) using the outputs.</t>
    </r>
  </si>
  <si>
    <r>
      <rPr>
        <b/>
        <sz val="11"/>
        <color theme="1"/>
        <rFont val="Arial"/>
        <family val="2"/>
      </rPr>
      <t>4 - 5</t>
    </r>
    <r>
      <rPr>
        <sz val="11"/>
        <color theme="1"/>
        <rFont val="Arial"/>
        <family val="2"/>
      </rPr>
      <t xml:space="preserve"> - There are 4 - 5 stakeholders </t>
    </r>
    <r>
      <rPr>
        <b/>
        <sz val="11"/>
        <color theme="1"/>
        <rFont val="Arial"/>
        <family val="2"/>
      </rPr>
      <t>(</t>
    </r>
    <r>
      <rPr>
        <sz val="11"/>
        <color theme="1"/>
        <rFont val="Arial"/>
        <family val="2"/>
      </rPr>
      <t>or groups</t>
    </r>
    <r>
      <rPr>
        <b/>
        <sz val="11"/>
        <color theme="1"/>
        <rFont val="Arial"/>
        <family val="2"/>
      </rPr>
      <t>)</t>
    </r>
    <r>
      <rPr>
        <sz val="11"/>
        <color theme="1"/>
        <rFont val="Arial"/>
        <family val="2"/>
      </rPr>
      <t xml:space="preserve"> involved in the work to convert the outputs into the outcome and realise benefits. They are outside of the immediate team</t>
    </r>
    <r>
      <rPr>
        <b/>
        <sz val="11"/>
        <color theme="1"/>
        <rFont val="Arial"/>
        <family val="2"/>
      </rPr>
      <t>(</t>
    </r>
    <r>
      <rPr>
        <sz val="11"/>
        <color theme="1"/>
        <rFont val="Arial"/>
        <family val="2"/>
      </rPr>
      <t>s</t>
    </r>
    <r>
      <rPr>
        <b/>
        <sz val="11"/>
        <color theme="1"/>
        <rFont val="Arial"/>
        <family val="2"/>
      </rPr>
      <t>)</t>
    </r>
    <r>
      <rPr>
        <sz val="11"/>
        <color theme="1"/>
        <rFont val="Arial"/>
        <family val="2"/>
      </rPr>
      <t xml:space="preserve"> using the outputs.</t>
    </r>
  </si>
  <si>
    <r>
      <rPr>
        <b/>
        <sz val="11"/>
        <color theme="1"/>
        <rFont val="Arial"/>
        <family val="2"/>
      </rPr>
      <t>6 or more</t>
    </r>
    <r>
      <rPr>
        <sz val="11"/>
        <color theme="1"/>
        <rFont val="Arial"/>
        <family val="2"/>
      </rPr>
      <t xml:space="preserve"> - There are 6 or more stakeholders </t>
    </r>
    <r>
      <rPr>
        <b/>
        <sz val="11"/>
        <color theme="1"/>
        <rFont val="Arial"/>
        <family val="2"/>
      </rPr>
      <t>(</t>
    </r>
    <r>
      <rPr>
        <sz val="11"/>
        <color theme="1"/>
        <rFont val="Arial"/>
        <family val="2"/>
      </rPr>
      <t>or groups</t>
    </r>
    <r>
      <rPr>
        <b/>
        <sz val="11"/>
        <color theme="1"/>
        <rFont val="Arial"/>
        <family val="2"/>
      </rPr>
      <t>)</t>
    </r>
    <r>
      <rPr>
        <sz val="11"/>
        <color theme="1"/>
        <rFont val="Arial"/>
        <family val="2"/>
      </rPr>
      <t xml:space="preserve"> involved in the work to convert the outputs into the outcome and realise benefits. They are outside of the immediate team</t>
    </r>
    <r>
      <rPr>
        <b/>
        <sz val="11"/>
        <color theme="1"/>
        <rFont val="Arial"/>
        <family val="2"/>
      </rPr>
      <t>(</t>
    </r>
    <r>
      <rPr>
        <sz val="11"/>
        <color theme="1"/>
        <rFont val="Arial"/>
        <family val="2"/>
      </rPr>
      <t>s</t>
    </r>
    <r>
      <rPr>
        <b/>
        <sz val="11"/>
        <color theme="1"/>
        <rFont val="Arial"/>
        <family val="2"/>
      </rPr>
      <t>)</t>
    </r>
    <r>
      <rPr>
        <sz val="11"/>
        <color theme="1"/>
        <rFont val="Arial"/>
        <family val="2"/>
      </rPr>
      <t xml:space="preserve"> using the outputs.</t>
    </r>
  </si>
  <si>
    <r>
      <rPr>
        <b/>
        <sz val="11"/>
        <color theme="1"/>
        <rFont val="Arial"/>
        <family val="2"/>
      </rPr>
      <t>&gt; $1Mill</t>
    </r>
    <r>
      <rPr>
        <sz val="11"/>
        <color theme="1"/>
        <rFont val="Arial"/>
        <family val="2"/>
      </rPr>
      <t xml:space="preserve"> - The expected financial benefits (revenue and/or savings) total at least $1M over the life of the solution (max five years).</t>
    </r>
  </si>
  <si>
    <r>
      <rPr>
        <b/>
        <sz val="11"/>
        <color theme="1"/>
        <rFont val="Arial"/>
        <family val="2"/>
      </rPr>
      <t>$251K - $1M</t>
    </r>
    <r>
      <rPr>
        <sz val="11"/>
        <color theme="1"/>
        <rFont val="Arial"/>
        <family val="2"/>
      </rPr>
      <t xml:space="preserve"> - The expected financial benefits total at least $251K, up to $1M, over the life of the solution (max five years).</t>
    </r>
  </si>
  <si>
    <r>
      <rPr>
        <b/>
        <sz val="11"/>
        <color theme="1"/>
        <rFont val="Arial"/>
        <family val="2"/>
      </rPr>
      <t>$51K - $250K</t>
    </r>
    <r>
      <rPr>
        <sz val="11"/>
        <color theme="1"/>
        <rFont val="Arial"/>
        <family val="2"/>
      </rPr>
      <t xml:space="preserve"> - The expected financial benefits total at least $51K, up to $250K, over the life of the solution (max five years).</t>
    </r>
  </si>
  <si>
    <r>
      <rPr>
        <b/>
        <sz val="11"/>
        <color theme="1"/>
        <rFont val="Arial"/>
        <family val="2"/>
      </rPr>
      <t>&lt; $50K</t>
    </r>
    <r>
      <rPr>
        <sz val="11"/>
        <color theme="1"/>
        <rFont val="Arial"/>
        <family val="2"/>
      </rPr>
      <t xml:space="preserve"> - The expected financial benefits are max $50K over the life of the solution (max five years)
</t>
    </r>
    <r>
      <rPr>
        <b/>
        <sz val="11"/>
        <color theme="1"/>
        <rFont val="Arial"/>
        <family val="2"/>
      </rPr>
      <t>-or-</t>
    </r>
    <r>
      <rPr>
        <sz val="11"/>
        <color theme="1"/>
        <rFont val="Arial"/>
        <family val="2"/>
      </rPr>
      <t xml:space="preserve"> all benefits are non-financial.</t>
    </r>
  </si>
  <si>
    <r>
      <rPr>
        <b/>
        <sz val="11"/>
        <color theme="1"/>
        <rFont val="Arial"/>
        <family val="2"/>
      </rPr>
      <t>Intangible</t>
    </r>
    <r>
      <rPr>
        <sz val="11"/>
        <color theme="1"/>
        <rFont val="Arial"/>
        <family val="2"/>
      </rPr>
      <t xml:space="preserve"> - Benefits are not measurable or no benefits identified for the proposed change.</t>
    </r>
  </si>
  <si>
    <r>
      <rPr>
        <b/>
        <sz val="11"/>
        <color theme="1"/>
        <rFont val="Arial"/>
        <family val="2"/>
      </rPr>
      <t>Non-financial</t>
    </r>
    <r>
      <rPr>
        <sz val="11"/>
        <color theme="1"/>
        <rFont val="Arial"/>
        <family val="2"/>
      </rPr>
      <t xml:space="preserve"> - Measurable non-financial benefits identified. They would relate to the student of staff experience or ACU's reputation.</t>
    </r>
  </si>
  <si>
    <r>
      <rPr>
        <b/>
        <sz val="11"/>
        <color theme="1"/>
        <rFont val="Arial"/>
        <family val="2"/>
      </rPr>
      <t>Cost ≥ benefit</t>
    </r>
    <r>
      <rPr>
        <sz val="11"/>
        <color theme="1"/>
        <rFont val="Arial"/>
        <family val="2"/>
      </rPr>
      <t xml:space="preserve"> - Financial benefits where costs (over 5y) equal or exceed the value of benefits.</t>
    </r>
  </si>
  <si>
    <r>
      <rPr>
        <b/>
        <sz val="11"/>
        <color theme="1"/>
        <rFont val="Arial"/>
        <family val="2"/>
      </rPr>
      <t>Benefit &gt; cost</t>
    </r>
    <r>
      <rPr>
        <sz val="11"/>
        <color theme="1"/>
        <rFont val="Arial"/>
        <family val="2"/>
      </rPr>
      <t xml:space="preserve"> - The value of financial benefits exceed costs (over 5y). This results in a payback.</t>
    </r>
  </si>
  <si>
    <r>
      <rPr>
        <b/>
        <sz val="11"/>
        <color theme="1"/>
        <rFont val="Arial"/>
        <family val="2"/>
      </rPr>
      <t>None</t>
    </r>
    <r>
      <rPr>
        <sz val="11"/>
        <color theme="1"/>
        <rFont val="Arial"/>
        <family val="2"/>
      </rPr>
      <t xml:space="preserve"> - The business need lacks supporting evidence and can be seen as a suggestion to change a service, process or system.</t>
    </r>
  </si>
  <si>
    <r>
      <rPr>
        <b/>
        <sz val="11"/>
        <color theme="1"/>
        <rFont val="Arial"/>
        <family val="2"/>
      </rPr>
      <t>Anecdotal</t>
    </r>
    <r>
      <rPr>
        <sz val="11"/>
        <color theme="1"/>
        <rFont val="Arial"/>
        <family val="2"/>
      </rPr>
      <t xml:space="preserve"> - The business need has anecdotal support or follows from a discussion minuted in a management, executive or a committee meeting.</t>
    </r>
  </si>
  <si>
    <r>
      <rPr>
        <b/>
        <sz val="11"/>
        <color theme="1"/>
        <rFont val="Arial"/>
        <family val="2"/>
      </rPr>
      <t>Tangible</t>
    </r>
    <r>
      <rPr>
        <sz val="11"/>
        <color theme="1"/>
        <rFont val="Arial"/>
        <family val="2"/>
      </rPr>
      <t xml:space="preserve"> - The business need is supported by surveys, repeated requests from service users (written or in a system), local or ACU leadership priorities, or similar tangible evidence.</t>
    </r>
  </si>
  <si>
    <r>
      <rPr>
        <b/>
        <sz val="11"/>
        <color theme="1"/>
        <rFont val="Arial"/>
        <family val="2"/>
      </rPr>
      <t>Detailed</t>
    </r>
    <r>
      <rPr>
        <sz val="11"/>
        <color theme="1"/>
        <rFont val="Arial"/>
        <family val="2"/>
      </rPr>
      <t xml:space="preserve"> - Mandatory, or the business need is strongly supported by unambiguous evidence,
e.g. statistically sound and robust surveys, process cycle time analysis, or similar.</t>
    </r>
  </si>
  <si>
    <r>
      <rPr>
        <b/>
        <sz val="11"/>
        <color theme="1"/>
        <rFont val="Arial"/>
        <family val="2"/>
      </rPr>
      <t xml:space="preserve">No impact </t>
    </r>
    <r>
      <rPr>
        <sz val="11"/>
        <color theme="1"/>
        <rFont val="Arial"/>
        <family val="2"/>
      </rPr>
      <t xml:space="preserve"> - No impact to ACU's risk position or compliance, or improvement in OHS.</t>
    </r>
  </si>
  <si>
    <r>
      <rPr>
        <b/>
        <sz val="11"/>
        <color theme="1"/>
        <rFont val="Arial"/>
        <family val="2"/>
      </rPr>
      <t xml:space="preserve">Contribute </t>
    </r>
    <r>
      <rPr>
        <sz val="11"/>
        <color theme="1"/>
        <rFont val="Arial"/>
        <family val="2"/>
      </rPr>
      <t xml:space="preserve"> - Contribute to an improvement in ACU's risk position, compliance or OHS but not sufficient alone to change the position.</t>
    </r>
  </si>
  <si>
    <r>
      <rPr>
        <b/>
        <sz val="11"/>
        <color theme="1"/>
        <rFont val="Arial"/>
        <family val="2"/>
      </rPr>
      <t>Mitigate</t>
    </r>
    <r>
      <rPr>
        <sz val="11"/>
        <color theme="1"/>
        <rFont val="Arial"/>
        <family val="2"/>
      </rPr>
      <t xml:space="preserve"> - Significant improvement of risk position, compliance or OHS but some residual risk or issues will remain.</t>
    </r>
  </si>
  <si>
    <r>
      <rPr>
        <b/>
        <sz val="11"/>
        <color theme="1"/>
        <rFont val="Arial"/>
        <family val="2"/>
      </rPr>
      <t>Eliminate</t>
    </r>
    <r>
      <rPr>
        <sz val="11"/>
        <color theme="1"/>
        <rFont val="Arial"/>
        <family val="2"/>
      </rPr>
      <t xml:space="preserve"> - Addresses a risk, compliance or WHS issue completely, eliminating it altogether.</t>
    </r>
  </si>
  <si>
    <r>
      <rPr>
        <b/>
        <sz val="11"/>
        <color theme="1"/>
        <rFont val="Arial"/>
        <family val="2"/>
      </rPr>
      <t>Timing flexible</t>
    </r>
    <r>
      <rPr>
        <sz val="11"/>
        <color theme="1"/>
        <rFont val="Arial"/>
        <family val="2"/>
      </rPr>
      <t xml:space="preserve"> - The work can be scheduled to commence flexibly whenever resources and funding can be made available, even if this might lead to a significant wait.</t>
    </r>
  </si>
  <si>
    <r>
      <rPr>
        <b/>
        <sz val="11"/>
        <color theme="1"/>
        <rFont val="Arial"/>
        <family val="2"/>
      </rPr>
      <t>Can wait 1 y</t>
    </r>
    <r>
      <rPr>
        <sz val="11"/>
        <color theme="1"/>
        <rFont val="Arial"/>
        <family val="2"/>
      </rPr>
      <t xml:space="preserve"> - The work can be scheduled to commence within the next year without a significant impact to ACU's services.</t>
    </r>
  </si>
  <si>
    <r>
      <rPr>
        <b/>
        <sz val="11"/>
        <color theme="1"/>
        <rFont val="Arial"/>
        <family val="2"/>
      </rPr>
      <t>Can wait 6 mo</t>
    </r>
    <r>
      <rPr>
        <sz val="11"/>
        <color theme="1"/>
        <rFont val="Arial"/>
        <family val="2"/>
      </rPr>
      <t xml:space="preserve"> - The work can be scheduled to commence within the next six months without a significant impact to ACU's services.</t>
    </r>
  </si>
  <si>
    <r>
      <rPr>
        <b/>
        <sz val="11"/>
        <color theme="1"/>
        <rFont val="Arial"/>
        <family val="2"/>
      </rPr>
      <t>Critical</t>
    </r>
    <r>
      <rPr>
        <sz val="11"/>
        <color theme="1"/>
        <rFont val="Arial"/>
        <family val="2"/>
      </rPr>
      <t xml:space="preserve"> - The work needs to commence as soon as possible and completed with urgency due to unexpected regulatory or similar changes in ACU's operating environment and tight external timelines posed to the University.</t>
    </r>
  </si>
  <si>
    <r>
      <rPr>
        <b/>
        <sz val="11"/>
        <color theme="1"/>
        <rFont val="Arial"/>
        <family val="2"/>
      </rPr>
      <t>To be assessed</t>
    </r>
    <r>
      <rPr>
        <sz val="11"/>
        <color theme="1"/>
        <rFont val="Arial"/>
        <family val="2"/>
      </rPr>
      <t xml:space="preserve"> - The readiness of the impacted stakeholders is yet to be assessed.</t>
    </r>
  </si>
  <si>
    <r>
      <rPr>
        <b/>
        <sz val="11"/>
        <color theme="1"/>
        <rFont val="Arial"/>
        <family val="2"/>
      </rPr>
      <t>Change identified</t>
    </r>
    <r>
      <rPr>
        <sz val="11"/>
        <color theme="1"/>
        <rFont val="Arial"/>
        <family val="2"/>
      </rPr>
      <t xml:space="preserve"> - What will change with each stakeholder (group) has been identified. The assessment of how ready they will be to adopt the new work practices, processes, skills or behaviours is yet to be done.</t>
    </r>
  </si>
  <si>
    <r>
      <rPr>
        <b/>
        <sz val="11"/>
        <color theme="1"/>
        <rFont val="Arial"/>
        <family val="2"/>
      </rPr>
      <t>Will be ready</t>
    </r>
    <r>
      <rPr>
        <sz val="11"/>
        <color theme="1"/>
        <rFont val="Arial"/>
        <family val="2"/>
      </rPr>
      <t xml:space="preserve"> - Changes to stakeholders' work and skills have been identified and any preparations outside of this project have been planned and can be completed in parallel of this project.</t>
    </r>
  </si>
  <si>
    <r>
      <rPr>
        <b/>
        <sz val="11"/>
        <color theme="1"/>
        <rFont val="Arial"/>
        <family val="2"/>
      </rPr>
      <t>All ready</t>
    </r>
    <r>
      <rPr>
        <sz val="11"/>
        <color theme="1"/>
        <rFont val="Arial"/>
        <family val="2"/>
      </rPr>
      <t xml:space="preserve"> - All stakeholders are already ready or are currently preparing to start with the new processes, work practices, skills or behaviours.</t>
    </r>
  </si>
  <si>
    <r>
      <rPr>
        <b/>
        <sz val="11"/>
        <color theme="1"/>
        <rFont val="Arial"/>
        <family val="2"/>
      </rPr>
      <t>Extensive</t>
    </r>
    <r>
      <rPr>
        <sz val="11"/>
        <color theme="1"/>
        <rFont val="Arial"/>
        <family val="2"/>
      </rPr>
      <t xml:space="preserve"> - The Exec Sponsor has sponsored similar projects earlier, possibly multiple, and understand the work and potential challenges involved.</t>
    </r>
  </si>
  <si>
    <r>
      <rPr>
        <b/>
        <sz val="11"/>
        <color theme="1"/>
        <rFont val="Arial"/>
        <family val="2"/>
      </rPr>
      <t>Some</t>
    </r>
    <r>
      <rPr>
        <sz val="11"/>
        <color theme="1"/>
        <rFont val="Arial"/>
        <family val="2"/>
      </rPr>
      <t xml:space="preserve"> - The Exec Sponsor has sponsored some comparable projects, or been involved in a similar project as a key stakeholder.</t>
    </r>
  </si>
  <si>
    <r>
      <rPr>
        <b/>
        <sz val="11"/>
        <color theme="1"/>
        <rFont val="Arial"/>
        <family val="2"/>
      </rPr>
      <t>None</t>
    </r>
    <r>
      <rPr>
        <sz val="11"/>
        <color theme="1"/>
        <rFont val="Arial"/>
        <family val="2"/>
      </rPr>
      <t xml:space="preserve"> - This is the first project of this kind for the Exec Sponsor as a sponsor. Any potential projects they have sponsored earlier have been of a different nature.</t>
    </r>
  </si>
  <si>
    <r>
      <rPr>
        <b/>
        <sz val="11"/>
        <color theme="1"/>
        <rFont val="Arial"/>
        <family val="2"/>
      </rPr>
      <t>Simple</t>
    </r>
    <r>
      <rPr>
        <sz val="11"/>
        <color theme="1"/>
        <rFont val="Arial"/>
        <family val="2"/>
      </rPr>
      <t xml:space="preserve"> - Once the outputs have been delivered, it will be straighforward and easy to reach the outcome.</t>
    </r>
  </si>
  <si>
    <r>
      <rPr>
        <b/>
        <sz val="11"/>
        <color theme="1"/>
        <rFont val="Arial"/>
        <family val="2"/>
      </rPr>
      <t>Some changes</t>
    </r>
    <r>
      <rPr>
        <sz val="11"/>
        <color theme="1"/>
        <rFont val="Arial"/>
        <family val="2"/>
      </rPr>
      <t xml:space="preserve"> - Once the outputs have been delivered, action is required, often across multipe teams to achieve the intended outcome. This often involves reinforcing the change and training, and embedding new work practices.</t>
    </r>
  </si>
  <si>
    <r>
      <rPr>
        <b/>
        <sz val="11"/>
        <color theme="1"/>
        <rFont val="Arial"/>
        <family val="2"/>
      </rPr>
      <t>Extensive</t>
    </r>
    <r>
      <rPr>
        <sz val="11"/>
        <color theme="1"/>
        <rFont val="Arial"/>
        <family val="2"/>
      </rPr>
      <t xml:space="preserve"> - Once the outputs have been delivered, extensive dedicated action is required, often across multipe teams to achieve the intended outcome. This often involves repeated reinforcing the change and training, and embedding new work practices.</t>
    </r>
  </si>
  <si>
    <r>
      <rPr>
        <b/>
        <sz val="11"/>
        <color theme="1"/>
        <rFont val="Arial"/>
        <family val="2"/>
      </rPr>
      <t>Complex</t>
    </r>
    <r>
      <rPr>
        <sz val="11"/>
        <color theme="1"/>
        <rFont val="Arial"/>
        <family val="2"/>
      </rPr>
      <t xml:space="preserve"> - Once the outputs have been delivered, significant action is still required across multipe teams to achieve the intended outcome.
This involves continuous reinforcing of the change and training, embedding new work practices, and perhaps further adjustments to roles, processes or systems.</t>
    </r>
  </si>
  <si>
    <r>
      <rPr>
        <b/>
        <sz val="11"/>
        <color theme="1"/>
        <rFont val="Arial"/>
        <family val="2"/>
      </rPr>
      <t>Simple</t>
    </r>
    <r>
      <rPr>
        <sz val="11"/>
        <color theme="1"/>
        <rFont val="Arial"/>
        <family val="2"/>
      </rPr>
      <t xml:space="preserve"> - It is likely the outcome can be achieved with some simple and well-known steps.</t>
    </r>
  </si>
  <si>
    <r>
      <rPr>
        <b/>
        <sz val="11"/>
        <color theme="1"/>
        <rFont val="Arial"/>
        <family val="2"/>
      </rPr>
      <t>Some changes</t>
    </r>
    <r>
      <rPr>
        <sz val="11"/>
        <color theme="1"/>
        <rFont val="Arial"/>
        <family val="2"/>
      </rPr>
      <t xml:space="preserve"> - The work after receiving project outputs until the outcome has been achieved is likely to require some work or adjustments to work practices, expected skills or behaviours.</t>
    </r>
  </si>
  <si>
    <r>
      <rPr>
        <b/>
        <sz val="11"/>
        <color theme="1"/>
        <rFont val="Arial"/>
        <family val="2"/>
      </rPr>
      <t>Extensive</t>
    </r>
    <r>
      <rPr>
        <sz val="11"/>
        <color theme="1"/>
        <rFont val="Arial"/>
        <family val="2"/>
      </rPr>
      <t xml:space="preserve"> - The work after receiving project outputs until the outcome has been achieved is likely to require multiple work streams or clear changes to work practices, expected skills or behaviours.</t>
    </r>
  </si>
  <si>
    <r>
      <rPr>
        <b/>
        <sz val="11"/>
        <color theme="1"/>
        <rFont val="Arial"/>
        <family val="2"/>
      </rPr>
      <t>Complex</t>
    </r>
    <r>
      <rPr>
        <sz val="11"/>
        <color theme="1"/>
        <rFont val="Arial"/>
        <family val="2"/>
      </rPr>
      <t xml:space="preserve"> - The work to achieve the outcome will require multiple work streams and major or complicated changes to work practices, expected skills or behaviours.</t>
    </r>
  </si>
  <si>
    <r>
      <rPr>
        <b/>
        <sz val="11"/>
        <color theme="1"/>
        <rFont val="Arial"/>
        <family val="2"/>
      </rPr>
      <t xml:space="preserve">1 </t>
    </r>
    <r>
      <rPr>
        <sz val="11"/>
        <color theme="1"/>
        <rFont val="Arial"/>
        <family val="2"/>
      </rPr>
      <t>- All benefits are managed and reported on by a single Benefit Owner.</t>
    </r>
  </si>
  <si>
    <r>
      <rPr>
        <b/>
        <sz val="11"/>
        <color theme="1"/>
        <rFont val="Arial"/>
        <family val="2"/>
      </rPr>
      <t>2 – 3</t>
    </r>
    <r>
      <rPr>
        <sz val="11"/>
        <color theme="1"/>
        <rFont val="Arial"/>
        <family val="2"/>
      </rPr>
      <t xml:space="preserve"> - There are 2- 3 Benefit Owners assigned to the project (one owner per benefit).</t>
    </r>
  </si>
  <si>
    <r>
      <rPr>
        <b/>
        <sz val="11"/>
        <color theme="1"/>
        <rFont val="Arial"/>
        <family val="2"/>
      </rPr>
      <t>4 – 5</t>
    </r>
    <r>
      <rPr>
        <sz val="11"/>
        <color theme="1"/>
        <rFont val="Arial"/>
        <family val="2"/>
      </rPr>
      <t xml:space="preserve"> - There are 4- 5 Benefit Owners assigned to the project (one owner per benefit).</t>
    </r>
  </si>
  <si>
    <r>
      <rPr>
        <b/>
        <sz val="11"/>
        <color theme="1"/>
        <rFont val="Arial"/>
        <family val="2"/>
      </rPr>
      <t>6 or more</t>
    </r>
    <r>
      <rPr>
        <sz val="11"/>
        <color theme="1"/>
        <rFont val="Arial"/>
        <family val="2"/>
      </rPr>
      <t xml:space="preserve"> - There are six or more Benefit Owners in the change. This also implies five or more outputs contributing to the outcome.</t>
    </r>
  </si>
  <si>
    <r>
      <rPr>
        <b/>
        <sz val="11"/>
        <color theme="1"/>
        <rFont val="Arial"/>
        <family val="2"/>
      </rPr>
      <t>Minimum</t>
    </r>
    <r>
      <rPr>
        <sz val="11"/>
        <color theme="1"/>
        <rFont val="Arial"/>
        <family val="2"/>
      </rPr>
      <t xml:space="preserve"> - During the delivery, the project has no or only very small impact to students.</t>
    </r>
  </si>
  <si>
    <r>
      <rPr>
        <b/>
        <sz val="11"/>
        <color theme="1"/>
        <rFont val="Arial"/>
        <family val="2"/>
      </rPr>
      <t xml:space="preserve">Some changes </t>
    </r>
    <r>
      <rPr>
        <sz val="11"/>
        <color theme="1"/>
        <rFont val="Arial"/>
        <family val="2"/>
      </rPr>
      <t>- The project delivery requires students to participate in some capacity or do some individual things differently.</t>
    </r>
  </si>
  <si>
    <r>
      <rPr>
        <b/>
        <sz val="11"/>
        <color theme="1"/>
        <rFont val="Arial"/>
        <family val="2"/>
      </rPr>
      <t>Extensive</t>
    </r>
    <r>
      <rPr>
        <sz val="11"/>
        <color theme="1"/>
        <rFont val="Arial"/>
        <family val="2"/>
      </rPr>
      <t xml:space="preserve"> - Students are strongly involved in the project or they need to do many things differently while the project is active (e.g. provide additional information or use alternate facilities).</t>
    </r>
  </si>
  <si>
    <r>
      <rPr>
        <b/>
        <sz val="11"/>
        <color theme="1"/>
        <rFont val="Arial"/>
        <family val="2"/>
      </rPr>
      <t>Complex</t>
    </r>
    <r>
      <rPr>
        <sz val="11"/>
        <color theme="1"/>
        <rFont val="Arial"/>
        <family val="2"/>
      </rPr>
      <t xml:space="preserve"> - There are several complex aspects which require deep engagement from students to get them right in the project.</t>
    </r>
  </si>
  <si>
    <r>
      <rPr>
        <b/>
        <sz val="11"/>
        <color theme="1"/>
        <rFont val="Arial"/>
        <family val="2"/>
      </rPr>
      <t>Minimum</t>
    </r>
    <r>
      <rPr>
        <sz val="11"/>
        <color theme="1"/>
        <rFont val="Arial"/>
        <family val="2"/>
      </rPr>
      <t xml:space="preserve"> - During the delivery, the project has no or only very small impact to any staff.</t>
    </r>
  </si>
  <si>
    <r>
      <rPr>
        <b/>
        <sz val="11"/>
        <color theme="1"/>
        <rFont val="Arial"/>
        <family val="2"/>
      </rPr>
      <t>Some</t>
    </r>
    <r>
      <rPr>
        <sz val="11"/>
        <color theme="1"/>
        <rFont val="Arial"/>
        <family val="2"/>
      </rPr>
      <t xml:space="preserve"> - The project delivery requires staff in general (outside of the project team) to participate in some capacity or do some individual things differently.</t>
    </r>
  </si>
  <si>
    <r>
      <rPr>
        <b/>
        <sz val="11"/>
        <color theme="1"/>
        <rFont val="Arial"/>
        <family val="2"/>
      </rPr>
      <t>Extensive</t>
    </r>
    <r>
      <rPr>
        <sz val="11"/>
        <color theme="1"/>
        <rFont val="Arial"/>
        <family val="2"/>
      </rPr>
      <t xml:space="preserve"> - Staff are strongly involved in the project or they need to do many things differently while the project is active (e.g. use workarounds or alternate tools / facilities).</t>
    </r>
  </si>
  <si>
    <r>
      <rPr>
        <b/>
        <sz val="11"/>
        <color theme="1"/>
        <rFont val="Arial"/>
        <family val="2"/>
      </rPr>
      <t>Complex</t>
    </r>
    <r>
      <rPr>
        <sz val="11"/>
        <color theme="1"/>
        <rFont val="Arial"/>
        <family val="2"/>
      </rPr>
      <t xml:space="preserve"> - There are several complex aspects which require deep engagement from staff to get them right in the project.</t>
    </r>
  </si>
  <si>
    <t>Impact on external partners (while delivering)
(other than the ones contracted to the project)</t>
  </si>
  <si>
    <r>
      <rPr>
        <b/>
        <sz val="11"/>
        <color theme="1"/>
        <rFont val="Arial"/>
        <family val="2"/>
      </rPr>
      <t>Minimum</t>
    </r>
    <r>
      <rPr>
        <sz val="11"/>
        <color theme="1"/>
        <rFont val="Arial"/>
        <family val="2"/>
      </rPr>
      <t xml:space="preserve"> - During the delivery, the project has no or only very small impact to any external partners or vendors.</t>
    </r>
  </si>
  <si>
    <r>
      <rPr>
        <b/>
        <sz val="11"/>
        <color theme="1"/>
        <rFont val="Arial"/>
        <family val="2"/>
      </rPr>
      <t>Some</t>
    </r>
    <r>
      <rPr>
        <sz val="11"/>
        <color theme="1"/>
        <rFont val="Arial"/>
        <family val="2"/>
      </rPr>
      <t xml:space="preserve"> - The project delivery requires external partners or vendors to participate in some capacity or interact with ACU differently on individual things.</t>
    </r>
  </si>
  <si>
    <r>
      <rPr>
        <b/>
        <sz val="11"/>
        <color theme="1"/>
        <rFont val="Arial"/>
        <family val="2"/>
      </rPr>
      <t>Extensive</t>
    </r>
    <r>
      <rPr>
        <sz val="11"/>
        <color theme="1"/>
        <rFont val="Arial"/>
        <family val="2"/>
      </rPr>
      <t xml:space="preserve"> - External partners or vendors  are strongly involved in the project or they need to do many things differently while the project is active (e.g. use workarounds or alternate communication channels).</t>
    </r>
  </si>
  <si>
    <r>
      <rPr>
        <b/>
        <sz val="11"/>
        <color theme="1"/>
        <rFont val="Arial"/>
        <family val="2"/>
      </rPr>
      <t>Complex</t>
    </r>
    <r>
      <rPr>
        <sz val="11"/>
        <color theme="1"/>
        <rFont val="Arial"/>
        <family val="2"/>
      </rPr>
      <t xml:space="preserve"> - The impact to our external partners is multi-faceted or high impact and requires very careful management. They need to do many things differently or are prevented from normal actions while the project is active.</t>
    </r>
  </si>
  <si>
    <r>
      <rPr>
        <b/>
        <sz val="11"/>
        <color theme="1"/>
        <rFont val="Arial"/>
        <family val="2"/>
      </rPr>
      <t xml:space="preserve">1 </t>
    </r>
    <r>
      <rPr>
        <sz val="11"/>
        <color theme="1"/>
        <rFont val="Arial"/>
        <family val="2"/>
      </rPr>
      <t>- One key stakeholder (group) is impacted directly during the project delivery. This would require them to do additional things or act differently while the project is active.</t>
    </r>
  </si>
  <si>
    <r>
      <rPr>
        <b/>
        <sz val="11"/>
        <color theme="1"/>
        <rFont val="Arial"/>
        <family val="2"/>
      </rPr>
      <t>2 - 3</t>
    </r>
    <r>
      <rPr>
        <sz val="11"/>
        <color theme="1"/>
        <rFont val="Arial"/>
        <family val="2"/>
      </rPr>
      <t xml:space="preserve"> - Two or three key stakeholders are impacted directly during the project delivery. This would require them to do additional things or act differently while the project is active.</t>
    </r>
  </si>
  <si>
    <r>
      <rPr>
        <b/>
        <sz val="11"/>
        <color theme="1"/>
        <rFont val="Arial"/>
        <family val="2"/>
      </rPr>
      <t>4 - 5</t>
    </r>
    <r>
      <rPr>
        <sz val="11"/>
        <color theme="1"/>
        <rFont val="Arial"/>
        <family val="2"/>
      </rPr>
      <t xml:space="preserve"> - Four or five key stakeholders are impacted directly during the project delivery. This would require them to do additional things or act differently while the project is active.</t>
    </r>
  </si>
  <si>
    <r>
      <rPr>
        <b/>
        <sz val="11"/>
        <color theme="1"/>
        <rFont val="Arial"/>
        <family val="2"/>
      </rPr>
      <t>None</t>
    </r>
    <r>
      <rPr>
        <sz val="11"/>
        <color theme="1"/>
        <rFont val="Arial"/>
        <family val="2"/>
      </rPr>
      <t xml:space="preserve"> - All work continues as before in the teams and units involved in or to be impacted by the project.</t>
    </r>
  </si>
  <si>
    <r>
      <rPr>
        <b/>
        <sz val="11"/>
        <color theme="1"/>
        <rFont val="Arial"/>
        <family val="2"/>
      </rPr>
      <t xml:space="preserve">Some changes </t>
    </r>
    <r>
      <rPr>
        <sz val="11"/>
        <color theme="1"/>
        <rFont val="Arial"/>
        <family val="2"/>
      </rPr>
      <t>- Adjustments or small changes are required to accommodate the project work.</t>
    </r>
  </si>
  <si>
    <r>
      <rPr>
        <b/>
        <sz val="11"/>
        <color theme="1"/>
        <rFont val="Arial"/>
        <family val="2"/>
      </rPr>
      <t>Extensive</t>
    </r>
    <r>
      <rPr>
        <sz val="11"/>
        <color theme="1"/>
        <rFont val="Arial"/>
        <family val="2"/>
      </rPr>
      <t xml:space="preserve"> - Clear changes are required in the teams or units to accommodate the project work. This might involve relocations, using alternate equipment, or diffferent forms, reports, etc.</t>
    </r>
  </si>
  <si>
    <r>
      <rPr>
        <b/>
        <sz val="11"/>
        <color theme="1"/>
        <rFont val="Arial"/>
        <family val="2"/>
      </rPr>
      <t>Complex</t>
    </r>
    <r>
      <rPr>
        <sz val="11"/>
        <color theme="1"/>
        <rFont val="Arial"/>
        <family val="2"/>
      </rPr>
      <t xml:space="preserve"> - Complicated changes are required in the teams or units to accommodate the project work. This might involve changes in data access, tasks, roles &amp; responsiblities, etc.</t>
    </r>
  </si>
  <si>
    <r>
      <rPr>
        <b/>
        <sz val="11"/>
        <color theme="1"/>
        <rFont val="Arial"/>
        <family val="2"/>
      </rPr>
      <t>Simple</t>
    </r>
    <r>
      <rPr>
        <sz val="11"/>
        <color theme="1"/>
        <rFont val="Arial"/>
        <family val="2"/>
      </rPr>
      <t xml:space="preserve"> - The outputs (deliverables) are easy to produce and the predictability is high.</t>
    </r>
  </si>
  <si>
    <r>
      <rPr>
        <b/>
        <sz val="11"/>
        <color theme="1"/>
        <rFont val="Arial"/>
        <family val="2"/>
      </rPr>
      <t>Some changes</t>
    </r>
    <r>
      <rPr>
        <sz val="11"/>
        <color theme="1"/>
        <rFont val="Arial"/>
        <family val="2"/>
      </rPr>
      <t xml:space="preserve"> - There is some complexity to the outputs and the project may encounter some challenges in creating them.</t>
    </r>
  </si>
  <si>
    <r>
      <rPr>
        <b/>
        <sz val="11"/>
        <color theme="1"/>
        <rFont val="Arial"/>
        <family val="2"/>
      </rPr>
      <t>Extensive</t>
    </r>
    <r>
      <rPr>
        <sz val="11"/>
        <color theme="1"/>
        <rFont val="Arial"/>
        <family val="2"/>
      </rPr>
      <t xml:space="preserve"> - The outputs in general are complex and creating them may require multiple parties. However, they are likely to be created and adopted into use successfully.</t>
    </r>
  </si>
  <si>
    <r>
      <rPr>
        <b/>
        <sz val="11"/>
        <color theme="1"/>
        <rFont val="Arial"/>
        <family val="2"/>
      </rPr>
      <t>Complex</t>
    </r>
    <r>
      <rPr>
        <sz val="11"/>
        <color theme="1"/>
        <rFont val="Arial"/>
        <family val="2"/>
      </rPr>
      <t xml:space="preserve"> - The outputs in general are complex and creating them may require multiple parties. Technical issues or other challenges are likely and they may be resource-intensive or difficult to resolve.</t>
    </r>
  </si>
  <si>
    <r>
      <rPr>
        <b/>
        <sz val="11"/>
        <color theme="1"/>
        <rFont val="Arial"/>
        <family val="2"/>
      </rPr>
      <t>None</t>
    </r>
    <r>
      <rPr>
        <sz val="11"/>
        <color theme="1"/>
        <rFont val="Arial"/>
        <family val="2"/>
      </rPr>
      <t xml:space="preserve"> - The outputs are generally well known to ACU, using familiar components or functions.</t>
    </r>
  </si>
  <si>
    <r>
      <rPr>
        <b/>
        <sz val="11"/>
        <color theme="1"/>
        <rFont val="Arial"/>
        <family val="2"/>
      </rPr>
      <t>Some</t>
    </r>
    <r>
      <rPr>
        <sz val="11"/>
        <color theme="1"/>
        <rFont val="Arial"/>
        <family val="2"/>
      </rPr>
      <t xml:space="preserve"> - There are some elements new to ACU and they may prompt for new ways of working with those specific parts.</t>
    </r>
  </si>
  <si>
    <r>
      <rPr>
        <b/>
        <sz val="11"/>
        <color theme="1"/>
        <rFont val="Arial"/>
        <family val="2"/>
      </rPr>
      <t>New to ACU</t>
    </r>
    <r>
      <rPr>
        <sz val="11"/>
        <color theme="1"/>
        <rFont val="Arial"/>
        <family val="2"/>
      </rPr>
      <t xml:space="preserve"> - The solution delivered is new to ACU but used elsewhere in the sector. This introduces new work practices.</t>
    </r>
  </si>
  <si>
    <r>
      <rPr>
        <b/>
        <sz val="11"/>
        <color theme="1"/>
        <rFont val="Arial"/>
        <family val="2"/>
      </rPr>
      <t>New to sector</t>
    </r>
    <r>
      <rPr>
        <sz val="11"/>
        <color theme="1"/>
        <rFont val="Arial"/>
        <family val="2"/>
      </rPr>
      <t xml:space="preserve"> - The solution delivered is mostly new to the sector, at least in Australia. This introduces new work practices or approached to a University.</t>
    </r>
  </si>
  <si>
    <r>
      <rPr>
        <b/>
        <sz val="11"/>
        <color theme="1"/>
        <rFont val="Arial"/>
        <family val="2"/>
      </rPr>
      <t>None</t>
    </r>
    <r>
      <rPr>
        <sz val="11"/>
        <color theme="1"/>
        <rFont val="Arial"/>
        <family val="2"/>
      </rPr>
      <t xml:space="preserve"> - We don't expect any interfaces to be needed or impacts to other systems. The proposed change works as stand-alone.</t>
    </r>
  </si>
  <si>
    <r>
      <rPr>
        <b/>
        <sz val="11"/>
        <color theme="1"/>
        <rFont val="Arial"/>
        <family val="2"/>
      </rPr>
      <t>Simple</t>
    </r>
    <r>
      <rPr>
        <sz val="11"/>
        <color theme="1"/>
        <rFont val="Arial"/>
        <family val="2"/>
      </rPr>
      <t xml:space="preserve"> - There will be interfaces or impacts to other systems but they are minor and simple to implement.</t>
    </r>
  </si>
  <si>
    <r>
      <rPr>
        <b/>
        <sz val="11"/>
        <color theme="1"/>
        <rFont val="Arial"/>
        <family val="2"/>
      </rPr>
      <t>Few</t>
    </r>
    <r>
      <rPr>
        <sz val="11"/>
        <color theme="1"/>
        <rFont val="Arial"/>
        <family val="2"/>
      </rPr>
      <t xml:space="preserve"> - There are few (2-4) integrations or dependenceis which require careful design. However, they usually rely on standardised methods and can be verified reliably.</t>
    </r>
  </si>
  <si>
    <r>
      <rPr>
        <b/>
        <sz val="11"/>
        <color theme="1"/>
        <rFont val="Arial"/>
        <family val="2"/>
      </rPr>
      <t>Complex</t>
    </r>
    <r>
      <rPr>
        <sz val="11"/>
        <color theme="1"/>
        <rFont val="Arial"/>
        <family val="2"/>
      </rPr>
      <t xml:space="preserve"> - There are multiple integration points or dependencies, or they are complex (e.g. tailored or purpose-built interfaces).
The design and verification requires significant detailed work and expertise.</t>
    </r>
  </si>
  <si>
    <r>
      <rPr>
        <b/>
        <sz val="11"/>
        <color theme="1"/>
        <rFont val="Arial"/>
        <family val="2"/>
      </rPr>
      <t>None</t>
    </r>
    <r>
      <rPr>
        <sz val="11"/>
        <color theme="1"/>
        <rFont val="Arial"/>
        <family val="2"/>
      </rPr>
      <t xml:space="preserve"> - The data in the process or service contains no personal information. It may have been de-identified and no longer allows individuals to be identified.</t>
    </r>
  </si>
  <si>
    <r>
      <rPr>
        <b/>
        <sz val="11"/>
        <color theme="1"/>
        <rFont val="Arial"/>
        <family val="2"/>
      </rPr>
      <t>Personal</t>
    </r>
    <r>
      <rPr>
        <sz val="11"/>
        <color theme="1"/>
        <rFont val="Arial"/>
        <family val="2"/>
      </rPr>
      <t xml:space="preserve"> - The process or service will handle data which can be used to identify an individual. Examples: name, address, phone number, student or staff ID, photos.</t>
    </r>
  </si>
  <si>
    <r>
      <rPr>
        <b/>
        <sz val="11"/>
        <color theme="1"/>
        <rFont val="Arial"/>
        <family val="2"/>
      </rPr>
      <t>Sensitive</t>
    </r>
    <r>
      <rPr>
        <sz val="11"/>
        <color theme="1"/>
        <rFont val="Arial"/>
        <family val="2"/>
      </rPr>
      <t xml:space="preserve"> - The process or service will handle data which is sensitive in nature. Examples: sexual / religious / political orientation. Sensitive information has additional privacy requirements. </t>
    </r>
  </si>
  <si>
    <r>
      <rPr>
        <b/>
        <sz val="11"/>
        <color theme="1"/>
        <rFont val="Arial"/>
        <family val="2"/>
      </rPr>
      <t>Health information</t>
    </r>
    <r>
      <rPr>
        <sz val="11"/>
        <color theme="1"/>
        <rFont val="Arial"/>
        <family val="2"/>
      </rPr>
      <t xml:space="preserve"> – The process or service will handle data about an individual’s physical or mental health, symptoms, disability, genetics, bodily donations, future health wishes. It can also include health appointments, prescriptions, reports, job suitability based on health, healthcare identifiers. Health information is a subset of sensitive information but has extra limitations around use.</t>
    </r>
  </si>
  <si>
    <r>
      <rPr>
        <b/>
        <sz val="11"/>
        <color theme="1"/>
        <rFont val="Arial"/>
        <family val="2"/>
      </rPr>
      <t>Sensitive information</t>
    </r>
    <r>
      <rPr>
        <sz val="11"/>
        <color theme="1"/>
        <rFont val="Arial"/>
        <family val="2"/>
      </rPr>
      <t xml:space="preserve"> = information about racial or ethnic origin, political opinions, membership of a political association, religious beliefs or affiliations, philosophical beliefs, membership of a professional or trade association, membership of a trade union, sexual orientation or practices, or criminal record, or health information, genetic information or biometric information.</t>
    </r>
  </si>
  <si>
    <r>
      <rPr>
        <b/>
        <sz val="11"/>
        <color theme="1"/>
        <rFont val="Arial"/>
        <family val="2"/>
      </rPr>
      <t>Extensive</t>
    </r>
    <r>
      <rPr>
        <sz val="11"/>
        <color theme="1"/>
        <rFont val="Arial"/>
        <family val="2"/>
      </rPr>
      <t xml:space="preserve"> - ACU uses or has used similar solutions in the past and has prior knowledge of the running and maintenance of these solutions. Advanced users are available for advice, if needed.</t>
    </r>
  </si>
  <si>
    <r>
      <rPr>
        <b/>
        <sz val="11"/>
        <color theme="1"/>
        <rFont val="Arial"/>
        <family val="2"/>
      </rPr>
      <t>Comparable</t>
    </r>
    <r>
      <rPr>
        <sz val="11"/>
        <color theme="1"/>
        <rFont val="Arial"/>
        <family val="2"/>
      </rPr>
      <t xml:space="preserve"> - ACU is familiar with comparable types of solutions and this experience can be applied on the solution implemented in this project.</t>
    </r>
  </si>
  <si>
    <r>
      <rPr>
        <b/>
        <sz val="11"/>
        <color theme="1"/>
        <rFont val="Arial"/>
        <family val="2"/>
      </rPr>
      <t>Some</t>
    </r>
    <r>
      <rPr>
        <sz val="11"/>
        <color theme="1"/>
        <rFont val="Arial"/>
        <family val="2"/>
      </rPr>
      <t xml:space="preserve"> - ACU is familiar with the types of solutions delivered by this project but lacks experience on this exact type or solution. It is likely that ACU needs training or other upskilling to become competent with this kinds of solutions.</t>
    </r>
  </si>
  <si>
    <r>
      <rPr>
        <b/>
        <sz val="11"/>
        <color theme="1"/>
        <rFont val="Arial"/>
        <family val="2"/>
      </rPr>
      <t>None</t>
    </r>
    <r>
      <rPr>
        <sz val="11"/>
        <color theme="1"/>
        <rFont val="Arial"/>
        <family val="2"/>
      </rPr>
      <t xml:space="preserve"> - This is likely to be a new kind of a solution so ACU requires user guidance and expertise, support capaiblity and other things to be developed from scratch.</t>
    </r>
  </si>
  <si>
    <r>
      <rPr>
        <b/>
        <sz val="11"/>
        <color theme="1"/>
        <rFont val="Arial"/>
        <family val="2"/>
      </rPr>
      <t>90%</t>
    </r>
    <r>
      <rPr>
        <sz val="11"/>
        <color theme="1"/>
        <rFont val="Arial"/>
        <family val="2"/>
      </rPr>
      <t xml:space="preserve"> - Based on the current understanding, one or more solutions available to ACU are likely to be a very good fit. They offer the features ACU requires and appear to match the way ACU prefers to offer services.</t>
    </r>
  </si>
  <si>
    <r>
      <rPr>
        <b/>
        <sz val="11"/>
        <color theme="1"/>
        <rFont val="Arial"/>
        <family val="2"/>
      </rPr>
      <t>75%</t>
    </r>
    <r>
      <rPr>
        <sz val="11"/>
        <color theme="1"/>
        <rFont val="Arial"/>
        <family val="2"/>
      </rPr>
      <t xml:space="preserve"> - One or more solutions provide a close match to ACU's expectations. However, it seems none of the solutions cater for all expectations and either they need enhancements or ACU's requirements need to be negotiated.</t>
    </r>
  </si>
  <si>
    <r>
      <rPr>
        <b/>
        <sz val="11"/>
        <color theme="1"/>
        <rFont val="Arial"/>
        <family val="2"/>
      </rPr>
      <t>50%</t>
    </r>
    <r>
      <rPr>
        <sz val="11"/>
        <color theme="1"/>
        <rFont val="Arial"/>
        <family val="2"/>
      </rPr>
      <t xml:space="preserve"> - One or more solutions provide a partial match to ACU's expectations. However, it seems none of the solutions cater for all expectations and they may need several enhancements. ACU's requirements may need to be clearly altered.</t>
    </r>
  </si>
  <si>
    <r>
      <rPr>
        <b/>
        <sz val="11"/>
        <color theme="1"/>
        <rFont val="Arial"/>
        <family val="2"/>
      </rPr>
      <t>25%</t>
    </r>
    <r>
      <rPr>
        <sz val="11"/>
        <color theme="1"/>
        <rFont val="Arial"/>
        <family val="2"/>
      </rPr>
      <t xml:space="preserve"> - The solutions available seem to provide some of the functionality expected but the gap with ACU's expectations is still big. This may necessitate the use of several systems or a purpose-built system to be developed.</t>
    </r>
  </si>
  <si>
    <r>
      <rPr>
        <b/>
        <sz val="11"/>
        <color theme="1"/>
        <rFont val="Arial"/>
        <family val="2"/>
      </rPr>
      <t>Secured</t>
    </r>
    <r>
      <rPr>
        <sz val="11"/>
        <color theme="1"/>
        <rFont val="Arial"/>
        <family val="2"/>
      </rPr>
      <t xml:space="preserve"> - The right resources have already been secured. This involves a direct control over their work or binding agreements with their management, agencies or vendors.</t>
    </r>
  </si>
  <si>
    <r>
      <rPr>
        <b/>
        <sz val="11"/>
        <color theme="1"/>
        <rFont val="Arial"/>
        <family val="2"/>
      </rPr>
      <t>High</t>
    </r>
    <r>
      <rPr>
        <sz val="11"/>
        <color theme="1"/>
        <rFont val="Arial"/>
        <family val="2"/>
      </rPr>
      <t xml:space="preserve"> - The right resources are likely to be available in full at the right time.
This is supported either by at least partial control over their work or agreements with their management, agencies or vendors.</t>
    </r>
  </si>
  <si>
    <r>
      <rPr>
        <b/>
        <sz val="11"/>
        <color theme="1"/>
        <rFont val="Arial"/>
        <family val="2"/>
      </rPr>
      <t>Medium</t>
    </r>
    <r>
      <rPr>
        <sz val="11"/>
        <color theme="1"/>
        <rFont val="Arial"/>
        <family val="2"/>
      </rPr>
      <t xml:space="preserve"> - At least most of the required resources are likely to be available when needed. However, there is uncertainty whether all resources are available and the potential gaps are likely to impact the delivery.</t>
    </r>
  </si>
  <si>
    <r>
      <rPr>
        <b/>
        <sz val="11"/>
        <color theme="1"/>
        <rFont val="Arial"/>
        <family val="2"/>
      </rPr>
      <t>Low</t>
    </r>
    <r>
      <rPr>
        <sz val="11"/>
        <color theme="1"/>
        <rFont val="Arial"/>
        <family val="2"/>
      </rPr>
      <t xml:space="preserve"> - The availability of the right resources at the right time is uncertain. We may lack suitable resources or they may be reprioritised to other work despite of their project commitments.</t>
    </r>
  </si>
  <si>
    <r>
      <rPr>
        <b/>
        <sz val="11"/>
        <color theme="1"/>
        <rFont val="Arial"/>
        <family val="2"/>
      </rPr>
      <t>Mandated</t>
    </r>
    <r>
      <rPr>
        <sz val="11"/>
        <color theme="1"/>
        <rFont val="Arial"/>
        <family val="2"/>
      </rPr>
      <t xml:space="preserve"> - The requirements have been given to ACU and are based on a mandate (such as a regulation) which is likely to remain in place 'as is' through the project.</t>
    </r>
  </si>
  <si>
    <r>
      <rPr>
        <b/>
        <sz val="11"/>
        <color theme="1"/>
        <rFont val="Arial"/>
        <family val="2"/>
      </rPr>
      <t>Stable</t>
    </r>
    <r>
      <rPr>
        <sz val="11"/>
        <color theme="1"/>
        <rFont val="Arial"/>
        <family val="2"/>
      </rPr>
      <t xml:space="preserve"> - The requirements have been "locked in" and are unlikely to change.</t>
    </r>
  </si>
  <si>
    <r>
      <rPr>
        <b/>
        <sz val="11"/>
        <color theme="1"/>
        <rFont val="Arial"/>
        <family val="2"/>
      </rPr>
      <t>Average</t>
    </r>
    <r>
      <rPr>
        <sz val="11"/>
        <color theme="1"/>
        <rFont val="Arial"/>
        <family val="2"/>
      </rPr>
      <t xml:space="preserve"> - The requirements are scoped well but may still change somewhat. However, the purpose and outcome of the project is clear and project outputs have been agreed on.</t>
    </r>
  </si>
  <si>
    <r>
      <rPr>
        <b/>
        <sz val="11"/>
        <color theme="1"/>
        <rFont val="Arial"/>
        <family val="2"/>
      </rPr>
      <t>Unstable</t>
    </r>
    <r>
      <rPr>
        <sz val="11"/>
        <color theme="1"/>
        <rFont val="Arial"/>
        <family val="2"/>
      </rPr>
      <t xml:space="preserve"> - The requirements are likely to change, possibly significantly in parts.
The outcome may also be adjusted.</t>
    </r>
  </si>
  <si>
    <r>
      <rPr>
        <b/>
        <sz val="11"/>
        <color theme="1"/>
        <rFont val="Arial"/>
        <family val="2"/>
      </rPr>
      <t>Free</t>
    </r>
    <r>
      <rPr>
        <sz val="11"/>
        <color theme="1"/>
        <rFont val="Arial"/>
        <family val="2"/>
      </rPr>
      <t xml:space="preserve"> - The project can be delivered when possible and there are no specific timelines for it.</t>
    </r>
  </si>
  <si>
    <r>
      <rPr>
        <b/>
        <sz val="11"/>
        <color theme="1"/>
        <rFont val="Arial"/>
        <family val="2"/>
      </rPr>
      <t>Flexible</t>
    </r>
    <r>
      <rPr>
        <sz val="11"/>
        <color theme="1"/>
        <rFont val="Arial"/>
        <family val="2"/>
      </rPr>
      <t xml:space="preserve"> - The project can be started when possible but it is expected to be completed in one go without pauses.</t>
    </r>
  </si>
  <si>
    <r>
      <rPr>
        <b/>
        <sz val="11"/>
        <color theme="1"/>
        <rFont val="Arial"/>
        <family val="2"/>
      </rPr>
      <t>Firm</t>
    </r>
    <r>
      <rPr>
        <sz val="11"/>
        <color theme="1"/>
        <rFont val="Arial"/>
        <family val="2"/>
      </rPr>
      <t xml:space="preserve"> - The timeline is firm and only some changes can be negotiated. This would apply to e.g. functionality needed for the start of a semester.</t>
    </r>
  </si>
  <si>
    <r>
      <rPr>
        <b/>
        <sz val="11"/>
        <color theme="1"/>
        <rFont val="Arial"/>
        <family val="2"/>
      </rPr>
      <t>Fixed</t>
    </r>
    <r>
      <rPr>
        <sz val="11"/>
        <color theme="1"/>
        <rFont val="Arial"/>
        <family val="2"/>
      </rPr>
      <t xml:space="preserve"> - There is a specific timeline for this project, for its start, key milestones or completion.
This may be set by a regulation or in an other non-negotiable manner.</t>
    </r>
  </si>
  <si>
    <r>
      <rPr>
        <b/>
        <sz val="11"/>
        <color theme="1"/>
        <rFont val="Arial"/>
        <family val="2"/>
      </rPr>
      <t>≤ 6 mo</t>
    </r>
    <r>
      <rPr>
        <sz val="11"/>
        <color theme="1"/>
        <rFont val="Arial"/>
        <family val="2"/>
      </rPr>
      <t xml:space="preserve"> - Based on the current understanding, this delivery is likely to be done in max 6 months.</t>
    </r>
  </si>
  <si>
    <r>
      <rPr>
        <b/>
        <sz val="11"/>
        <color theme="1"/>
        <rFont val="Arial"/>
        <family val="2"/>
      </rPr>
      <t>6 - 12 mo</t>
    </r>
    <r>
      <rPr>
        <sz val="11"/>
        <color theme="1"/>
        <rFont val="Arial"/>
        <family val="2"/>
      </rPr>
      <t xml:space="preserve"> - Based on the current understanding, this delivery is likely to take more than 6 months but less than 12 months.</t>
    </r>
  </si>
  <si>
    <r>
      <rPr>
        <b/>
        <sz val="11"/>
        <color theme="1"/>
        <rFont val="Arial"/>
        <family val="2"/>
      </rPr>
      <t>1 - 2 years</t>
    </r>
    <r>
      <rPr>
        <sz val="11"/>
        <color theme="1"/>
        <rFont val="Arial"/>
        <family val="2"/>
      </rPr>
      <t xml:space="preserve"> - Based on the current understanding, this delivery is likely to take at least 1 year but less than 2 years.</t>
    </r>
  </si>
  <si>
    <r>
      <rPr>
        <b/>
        <sz val="11"/>
        <color theme="1"/>
        <rFont val="Arial"/>
        <family val="2"/>
      </rPr>
      <t>2+ years</t>
    </r>
    <r>
      <rPr>
        <sz val="11"/>
        <color theme="1"/>
        <rFont val="Arial"/>
        <family val="2"/>
      </rPr>
      <t xml:space="preserve"> - Based on the current understanding, this delivery is likely to be require at least 2 years.
Note: Consider staging or splitting the project into shorter deliveries to lower the risk associated with long timelines.</t>
    </r>
  </si>
  <si>
    <r>
      <rPr>
        <b/>
        <sz val="11"/>
        <color theme="1"/>
        <rFont val="Arial"/>
        <family val="2"/>
      </rPr>
      <t>≤ $150 K</t>
    </r>
    <r>
      <rPr>
        <sz val="11"/>
        <color theme="1"/>
        <rFont val="Arial"/>
        <family val="2"/>
      </rPr>
      <t xml:space="preserve"> - The project is likely to require max $150K of funding (capital and/or operating) for the delivery.</t>
    </r>
  </si>
  <si>
    <r>
      <rPr>
        <b/>
        <sz val="11"/>
        <color theme="1"/>
        <rFont val="Arial"/>
        <family val="2"/>
      </rPr>
      <t>≤ $250 K</t>
    </r>
    <r>
      <rPr>
        <sz val="11"/>
        <color theme="1"/>
        <rFont val="Arial"/>
        <family val="2"/>
      </rPr>
      <t xml:space="preserve"> - The project is likely to require more than $150K but max $250K of funding.</t>
    </r>
  </si>
  <si>
    <r>
      <rPr>
        <b/>
        <sz val="11"/>
        <color theme="1"/>
        <rFont val="Arial"/>
        <family val="2"/>
      </rPr>
      <t>≤ $2 M</t>
    </r>
    <r>
      <rPr>
        <sz val="11"/>
        <color theme="1"/>
        <rFont val="Arial"/>
        <family val="2"/>
      </rPr>
      <t xml:space="preserve"> - The project is likely to require more than $250K but max $2M of funding. These projects typically apply for capital funds.</t>
    </r>
  </si>
  <si>
    <r>
      <rPr>
        <b/>
        <sz val="11"/>
        <color theme="1"/>
        <rFont val="Arial"/>
        <family val="2"/>
      </rPr>
      <t>$2+ M</t>
    </r>
    <r>
      <rPr>
        <sz val="11"/>
        <color theme="1"/>
        <rFont val="Arial"/>
        <family val="2"/>
      </rPr>
      <t xml:space="preserve"> - The project is likely to require more than $2M of funding. These projects always apply for capital funds.</t>
    </r>
  </si>
  <si>
    <r>
      <rPr>
        <b/>
        <sz val="11"/>
        <color theme="1"/>
        <rFont val="Arial"/>
        <family val="2"/>
      </rPr>
      <t>Comparable</t>
    </r>
    <r>
      <rPr>
        <sz val="11"/>
        <color theme="1"/>
        <rFont val="Arial"/>
        <family val="2"/>
      </rPr>
      <t xml:space="preserve"> - The Exec Sponsor has sponsored related or comparable projects earlier, possibly multiple. They have a general appreciation of the work and potential challenges involved.</t>
    </r>
  </si>
  <si>
    <r>
      <rPr>
        <b/>
        <sz val="11"/>
        <color theme="1"/>
        <rFont val="Arial"/>
        <family val="2"/>
      </rPr>
      <t>6 or more</t>
    </r>
    <r>
      <rPr>
        <sz val="11"/>
        <color theme="1"/>
        <rFont val="Arial"/>
        <family val="2"/>
      </rPr>
      <t xml:space="preserve"> - At least 6 different key stakeholders or groups are impacted directly during the project delivery. This would require them to do additional things or act differently while the project is active.</t>
    </r>
  </si>
  <si>
    <t>THRESHOLDS FOR CATEGORIES</t>
  </si>
  <si>
    <t>Results</t>
  </si>
  <si>
    <t>For a Project Business Case</t>
  </si>
  <si>
    <t>&gt; 'Financial Summary' cells D10:D11.</t>
  </si>
  <si>
    <r>
      <t xml:space="preserve">Benefits </t>
    </r>
    <r>
      <rPr>
        <sz val="11"/>
        <color theme="1"/>
        <rFont val="Arial"/>
        <family val="2"/>
      </rPr>
      <t>(value to the University)</t>
    </r>
  </si>
  <si>
    <r>
      <t>Delivery</t>
    </r>
    <r>
      <rPr>
        <b/>
        <i/>
        <sz val="11"/>
        <color theme="1"/>
        <rFont val="Arial"/>
        <family val="2"/>
      </rPr>
      <t xml:space="preserve"> </t>
    </r>
    <r>
      <rPr>
        <sz val="11"/>
        <color theme="1"/>
        <rFont val="Arial"/>
        <family val="2"/>
      </rPr>
      <t>(complexity of the delivery)</t>
    </r>
  </si>
  <si>
    <r>
      <t xml:space="preserve">CONFIDENCE RATINGS </t>
    </r>
    <r>
      <rPr>
        <sz val="11"/>
        <color theme="0"/>
        <rFont val="Arial"/>
        <family val="2"/>
      </rPr>
      <t>in success</t>
    </r>
  </si>
  <si>
    <t>Selection</t>
  </si>
  <si>
    <t>LOOKUPS FOR EXPLANING THE OVERALL SCORE IN RESULTS</t>
  </si>
  <si>
    <t>The change is not linked to any of ACU's expressed goals or priorities.</t>
  </si>
  <si>
    <t>This change is not expected to alter the student experience.</t>
  </si>
  <si>
    <t>This change is not expected to alter the staff experience.</t>
  </si>
  <si>
    <t>This change is not expected to improve the current operational efficiency, or the improvement is ha</t>
  </si>
  <si>
    <t>Students in a faculty / school or staff on campus, or staff at a unit level (org unit level 4 or be</t>
  </si>
  <si>
    <t>A refinement of an existing student experience or service.</t>
  </si>
  <si>
    <t>A refinement of an existing staff experience or service.</t>
  </si>
  <si>
    <t>Slight improvement in operations. Change 1 - 10% in time or cost of a service of function.</t>
  </si>
  <si>
    <t>Single faculty / school or Directorate nationally (org unit level 3).</t>
  </si>
  <si>
    <t>A distinct change or addition to an existing student experience or service.</t>
  </si>
  <si>
    <t>A distinct change or addition to an existing staff experience or service.</t>
  </si>
  <si>
    <t>Measurable adjustments in operations. Change 11 - 20% in time or cost of a service of function.</t>
  </si>
  <si>
    <t>Students in multiple faculties or state-wide (e.g. MEL &amp; BAL), or a portfolio nationally.</t>
  </si>
  <si>
    <t>Developing new or redesigning experiences or services, transforming what is offered in an area.</t>
  </si>
  <si>
    <t>Significant improvement in operations through a changed process or system. The service capacity cha</t>
  </si>
  <si>
    <t>All students or all staff nationally.</t>
  </si>
  <si>
    <t>Copy the cells E13:E14 to the Project Financial Model</t>
  </si>
  <si>
    <t>Complexity</t>
  </si>
  <si>
    <t>CONTRIBUTION</t>
  </si>
  <si>
    <t>Copy the cells B6:F14 to the Project Business Case</t>
  </si>
  <si>
    <t>&gt; end of 'Executive Summary'.</t>
  </si>
  <si>
    <t>Mandatory for regulatory or WHS compliance reasons. Please reference the respective regulation or policy.</t>
  </si>
  <si>
    <t>Supporting - Implements a portfolio or local level priority, or enables other projects to implement priorities or strategic goals.</t>
  </si>
  <si>
    <r>
      <rPr>
        <b/>
        <sz val="11"/>
        <color theme="1"/>
        <rFont val="Arial"/>
        <family val="2"/>
      </rPr>
      <t>PF, local priority</t>
    </r>
    <r>
      <rPr>
        <sz val="11"/>
        <color theme="1"/>
        <rFont val="Arial"/>
        <family val="2"/>
      </rPr>
      <t xml:space="preserve"> - Implements a portfolio or local level priority, or enables other projects to implement priorities or strategic goals.</t>
    </r>
  </si>
  <si>
    <t>PF, local priority</t>
  </si>
  <si>
    <r>
      <rPr>
        <b/>
        <sz val="11"/>
        <color theme="1"/>
        <rFont val="Arial"/>
        <family val="2"/>
      </rPr>
      <t>Strat Plan goal</t>
    </r>
    <r>
      <rPr>
        <sz val="11"/>
        <color theme="1"/>
        <rFont val="Arial"/>
        <family val="2"/>
      </rPr>
      <t xml:space="preserve"> - Directly contributes to an ACU Strategic Plan 2023 goal (e.g. 2.2) or implements a VC Annual Priority focus area.</t>
    </r>
  </si>
  <si>
    <t>Strategic - Directly contributes to an ACU Strategic Plan 2023 goal or implements a VC Annual Priority focus area.</t>
  </si>
  <si>
    <t>&lt;Project name&gt;</t>
  </si>
  <si>
    <t>New resources</t>
  </si>
  <si>
    <t>Ability to recycle / reuse existing assets or resources</t>
  </si>
  <si>
    <t>Partially</t>
  </si>
  <si>
    <t>Recycle existing</t>
  </si>
  <si>
    <t>Unused get used</t>
  </si>
  <si>
    <r>
      <rPr>
        <b/>
        <sz val="11"/>
        <color theme="1"/>
        <rFont val="Arial"/>
        <family val="2"/>
      </rPr>
      <t>Partially</t>
    </r>
    <r>
      <rPr>
        <sz val="11"/>
        <color theme="1"/>
        <rFont val="Arial"/>
        <family val="2"/>
      </rPr>
      <t xml:space="preserve"> - The outcome can reuse some of the existing resources but will require also some new resources.</t>
    </r>
  </si>
  <si>
    <r>
      <rPr>
        <b/>
        <sz val="11"/>
        <color theme="1"/>
        <rFont val="Arial"/>
        <family val="2"/>
      </rPr>
      <t>New resources</t>
    </r>
    <r>
      <rPr>
        <sz val="11"/>
        <color theme="1"/>
        <rFont val="Arial"/>
        <family val="2"/>
      </rPr>
      <t xml:space="preserve"> - This outcome creates a need for new resources in the university.</t>
    </r>
  </si>
  <si>
    <r>
      <rPr>
        <b/>
        <sz val="11"/>
        <color theme="1"/>
        <rFont val="Arial"/>
        <family val="2"/>
      </rPr>
      <t>Recycle existing</t>
    </r>
    <r>
      <rPr>
        <sz val="11"/>
        <color theme="1"/>
        <rFont val="Arial"/>
        <family val="2"/>
      </rPr>
      <t xml:space="preserve"> - The outcome will reuse existing resources in the university, putting them into a better use.</t>
    </r>
  </si>
  <si>
    <r>
      <rPr>
        <b/>
        <sz val="11"/>
        <color theme="1"/>
        <rFont val="Arial"/>
        <family val="2"/>
      </rPr>
      <t>Unused get used</t>
    </r>
    <r>
      <rPr>
        <sz val="11"/>
        <color theme="1"/>
        <rFont val="Arial"/>
        <family val="2"/>
      </rPr>
      <t xml:space="preserve"> - The outcome will take into use existing resources which are currently unused or heavily underutilised.</t>
    </r>
  </si>
  <si>
    <t>Financial contribution</t>
  </si>
  <si>
    <t>MERIT SCORE</t>
  </si>
  <si>
    <t>PRIORITY SCORE</t>
  </si>
  <si>
    <t>Points</t>
  </si>
  <si>
    <t>Benefit $ &lt; cost</t>
  </si>
  <si>
    <t>Profitable years 2-3</t>
  </si>
  <si>
    <t>Profitable in year 1</t>
  </si>
  <si>
    <t>Total score:</t>
  </si>
  <si>
    <t/>
  </si>
  <si>
    <t>UPMO recommendation:</t>
  </si>
  <si>
    <t>Portfolio project list scoring</t>
  </si>
  <si>
    <t>Weight</t>
  </si>
  <si>
    <t>Contribution %</t>
  </si>
  <si>
    <t>Confidence benefits</t>
  </si>
  <si>
    <t>Confidence delivery</t>
  </si>
  <si>
    <t>From Financial Model</t>
  </si>
  <si>
    <t>Cost/benefit ratio</t>
  </si>
  <si>
    <t>Benefits</t>
  </si>
  <si>
    <t>Delivery</t>
  </si>
  <si>
    <t>Cost/benefit</t>
  </si>
  <si>
    <t>SCORE</t>
  </si>
  <si>
    <t>Benefits $</t>
  </si>
  <si>
    <t>Cost $</t>
  </si>
  <si>
    <t>From Project Assessment</t>
  </si>
  <si>
    <t>THIS WORKSHEET IS USE FOR PROJECT PRIORITISATION BY THE UPMO AND IMC.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</si>
</sst>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64" formatCode="0.0%"/>
    <numFmt numFmtId="165" formatCode="&quot;$&quot;#,##0"/>
    <numFmt numFmtId="166" formatCode="0.0_ ;[Red]\-0.0\ "/>
    <numFmt numFmtId="167" formatCode="0.000"/>
    <numFmt numFmtId="168" formatCode="[$-C09]dd\-mmmm\-yyyy;@"/>
    <numFmt numFmtId="169" formatCode="0.00_ ;[Red]\-0.00\ "/>
  </numFmts>
  <fonts count="23" x14ac:knownFonts="1">
    <font>
      <sz val="11"/>
      <color theme="1"/>
      <name val="Calibri"/>
      <family val="2"/>
      <scheme val="minor"/>
    </font>
    <font>
      <sz val="10"/>
      <color theme="1"/>
      <name val="Arial"/>
      <family val="2"/>
    </font>
    <font>
      <sz val="8"/>
      <color rgb="FFA6A6A6"/>
      <name val="Arial"/>
      <family val="2"/>
    </font>
    <font>
      <sz val="10"/>
      <color theme="1"/>
      <name val="Tahoma"/>
      <family val="2"/>
    </font>
    <font>
      <sz val="10"/>
      <color rgb="FFA6A6A6"/>
      <name val="Tahoma"/>
      <family val="2"/>
    </font>
    <font>
      <b/>
      <sz val="10"/>
      <color theme="1"/>
      <name val="Tahoma"/>
      <family val="2"/>
    </font>
    <font>
      <sz val="11"/>
      <color theme="1"/>
      <name val="Tahoma"/>
      <family val="2"/>
    </font>
    <font>
      <b/>
      <sz val="11"/>
      <color theme="1"/>
      <name val="Tahoma"/>
      <family val="2"/>
    </font>
    <font>
      <b/>
      <sz val="14"/>
      <color theme="1"/>
      <name val="Tahoma"/>
      <family val="2"/>
    </font>
    <font>
      <sz val="9"/>
      <color indexed="81"/>
      <name val="Tahoma"/>
      <family val="2"/>
    </font>
    <font>
      <sz val="11"/>
      <color theme="1"/>
      <name val="Arial"/>
      <family val="2"/>
    </font>
    <font>
      <sz val="16"/>
      <color theme="1"/>
      <name val="Arial"/>
      <family val="2"/>
    </font>
    <font>
      <b/>
      <sz val="16"/>
      <color theme="1"/>
      <name val="Arial"/>
      <family val="2"/>
    </font>
    <font>
      <b/>
      <sz val="11"/>
      <color theme="1"/>
      <name val="Arial"/>
      <family val="2"/>
    </font>
    <font>
      <sz val="11"/>
      <name val="Arial"/>
      <family val="2"/>
    </font>
    <font>
      <sz val="11"/>
      <color theme="0"/>
      <name val="Arial"/>
      <family val="2"/>
    </font>
    <font>
      <b/>
      <sz val="11"/>
      <name val="Arial"/>
      <family val="2"/>
    </font>
    <font>
      <sz val="8"/>
      <color theme="1"/>
      <name val="Arial"/>
      <family val="2"/>
    </font>
    <font>
      <b/>
      <sz val="11"/>
      <color theme="0"/>
      <name val="Arial"/>
      <family val="2"/>
    </font>
    <font>
      <b/>
      <i/>
      <sz val="11"/>
      <color theme="1"/>
      <name val="Arial"/>
      <family val="2"/>
    </font>
    <font>
      <b/>
      <sz val="16"/>
      <color rgb="FFC00000"/>
      <name val="Arial"/>
      <family val="2"/>
    </font>
    <font>
      <b/>
      <sz val="11"/>
      <color theme="1"/>
      <name val="Calibri"/>
      <family val="2"/>
      <scheme val="minor"/>
    </font>
    <font>
      <b/>
      <sz val="9"/>
      <color indexed="81"/>
      <name val="Tahoma"/>
      <family val="2"/>
    </font>
  </fonts>
  <fills count="1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808080"/>
        <bgColor indexed="64"/>
      </patternFill>
    </fill>
    <fill>
      <patternFill patternType="solid">
        <fgColor theme="0" tint="-0.249977111117893"/>
        <bgColor indexed="64"/>
      </patternFill>
    </fill>
    <fill>
      <patternFill patternType="solid">
        <fgColor theme="7"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theme="0" tint="-0.1499374370555742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indexed="64"/>
      </right>
      <top style="thin">
        <color theme="0" tint="-0.14993743705557422"/>
      </top>
      <bottom style="thin">
        <color theme="0" tint="-0.14993743705557422"/>
      </bottom>
      <diagonal/>
    </border>
    <border>
      <left/>
      <right style="thin">
        <color indexed="64"/>
      </right>
      <top/>
      <bottom style="thin">
        <color theme="0" tint="-0.14993743705557422"/>
      </bottom>
      <diagonal/>
    </border>
    <border>
      <left/>
      <right style="thin">
        <color rgb="FF808080"/>
      </right>
      <top/>
      <bottom/>
      <diagonal/>
    </border>
    <border>
      <left style="thin">
        <color rgb="FF808080"/>
      </left>
      <right style="thin">
        <color rgb="FF808080"/>
      </right>
      <top/>
      <bottom/>
      <diagonal/>
    </border>
    <border>
      <left style="thin">
        <color rgb="FF808080"/>
      </left>
      <right style="thin">
        <color rgb="FF808080"/>
      </right>
      <top/>
      <bottom style="thin">
        <color rgb="FF808080"/>
      </bottom>
      <diagonal/>
    </border>
    <border>
      <left style="thin">
        <color rgb="FF808080"/>
      </left>
      <right/>
      <top/>
      <bottom/>
      <diagonal/>
    </border>
    <border>
      <left style="thin">
        <color rgb="FF808080"/>
      </left>
      <right/>
      <top/>
      <bottom style="thin">
        <color rgb="FF808080"/>
      </bottom>
      <diagonal/>
    </border>
    <border>
      <left/>
      <right/>
      <top/>
      <bottom style="thin">
        <color rgb="FF808080"/>
      </bottom>
      <diagonal/>
    </border>
    <border>
      <left/>
      <right style="thin">
        <color rgb="FF808080"/>
      </right>
      <top/>
      <bottom style="thin">
        <color rgb="FF80808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4">
    <xf numFmtId="0" fontId="0" fillId="0" borderId="0" xfId="0"/>
    <xf numFmtId="0" fontId="3" fillId="0" borderId="0" xfId="0" applyFont="1"/>
    <xf numFmtId="0" fontId="3" fillId="0" borderId="0" xfId="0" applyFont="1" applyAlignment="1">
      <alignment vertical="center" wrapText="1"/>
    </xf>
    <xf numFmtId="0" fontId="4" fillId="0" borderId="0" xfId="0" applyFont="1" applyAlignment="1">
      <alignment horizontal="center" vertical="center" wrapText="1"/>
    </xf>
    <xf numFmtId="16" fontId="3" fillId="0" borderId="0" xfId="0" applyNumberFormat="1" applyFont="1"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7" fillId="2" borderId="0" xfId="0" applyFont="1" applyFill="1" applyAlignment="1">
      <alignment vertical="top"/>
    </xf>
    <xf numFmtId="0" fontId="6" fillId="2" borderId="0" xfId="0" applyFont="1" applyFill="1"/>
    <xf numFmtId="0" fontId="7" fillId="2" borderId="0" xfId="0" applyFont="1" applyFill="1" applyAlignment="1">
      <alignment vertical="top" wrapText="1"/>
    </xf>
    <xf numFmtId="0" fontId="6" fillId="7" borderId="0" xfId="0" applyFont="1" applyFill="1" applyAlignment="1">
      <alignment vertical="top" wrapText="1"/>
    </xf>
    <xf numFmtId="0" fontId="6" fillId="7" borderId="0" xfId="0" applyFont="1" applyFill="1"/>
    <xf numFmtId="0" fontId="6" fillId="7" borderId="0" xfId="0" applyFont="1" applyFill="1" applyAlignment="1">
      <alignment vertical="top"/>
    </xf>
    <xf numFmtId="0" fontId="8" fillId="7" borderId="0" xfId="0" applyFont="1" applyFill="1" applyAlignment="1">
      <alignment horizontal="left"/>
    </xf>
    <xf numFmtId="0" fontId="6" fillId="3" borderId="0" xfId="0" applyFont="1" applyFill="1" applyAlignment="1">
      <alignment vertical="top"/>
    </xf>
    <xf numFmtId="0" fontId="6" fillId="3" borderId="0" xfId="0" applyFont="1" applyFill="1"/>
    <xf numFmtId="0" fontId="10" fillId="7" borderId="0" xfId="0" applyFont="1" applyFill="1" applyAlignment="1">
      <alignment horizontal="right" vertical="center"/>
    </xf>
    <xf numFmtId="0" fontId="10" fillId="7" borderId="0" xfId="0" applyFont="1" applyFill="1" applyAlignment="1">
      <alignment vertical="center"/>
    </xf>
    <xf numFmtId="0" fontId="10" fillId="7" borderId="0" xfId="0" applyFont="1" applyFill="1" applyAlignment="1">
      <alignment horizontal="left" vertical="center"/>
    </xf>
    <xf numFmtId="0" fontId="10" fillId="7" borderId="0" xfId="0" applyFont="1" applyFill="1" applyAlignment="1">
      <alignment horizontal="center" vertical="center"/>
    </xf>
    <xf numFmtId="0" fontId="6" fillId="3" borderId="0" xfId="0" applyFont="1" applyFill="1" applyAlignment="1">
      <alignment horizontal="left" vertical="top" indent="2"/>
    </xf>
    <xf numFmtId="0" fontId="6" fillId="3" borderId="0" xfId="0" quotePrefix="1" applyFont="1" applyFill="1"/>
    <xf numFmtId="0" fontId="11" fillId="6" borderId="0" xfId="0" applyFont="1" applyFill="1"/>
    <xf numFmtId="0" fontId="12" fillId="6" borderId="0" xfId="0" applyFont="1" applyFill="1" applyAlignment="1">
      <alignment horizontal="center"/>
    </xf>
    <xf numFmtId="0" fontId="10" fillId="6" borderId="0" xfId="0" applyFont="1" applyFill="1"/>
    <xf numFmtId="0" fontId="13" fillId="6" borderId="0" xfId="0" applyFont="1" applyFill="1" applyAlignment="1">
      <alignment horizontal="center"/>
    </xf>
    <xf numFmtId="0" fontId="10" fillId="7" borderId="0" xfId="0" applyFont="1" applyFill="1"/>
    <xf numFmtId="164" fontId="10" fillId="7" borderId="0" xfId="0" applyNumberFormat="1" applyFont="1" applyFill="1"/>
    <xf numFmtId="0" fontId="10" fillId="6" borderId="0" xfId="0" applyFont="1" applyFill="1" applyAlignment="1">
      <alignment horizontal="center"/>
    </xf>
    <xf numFmtId="0" fontId="10" fillId="7" borderId="0" xfId="0" applyFont="1" applyFill="1" applyAlignment="1">
      <alignment horizontal="right"/>
    </xf>
    <xf numFmtId="0" fontId="13" fillId="4" borderId="0" xfId="0" applyFont="1" applyFill="1" applyAlignment="1">
      <alignment horizontal="center" vertical="center"/>
    </xf>
    <xf numFmtId="0" fontId="10" fillId="2" borderId="0" xfId="0" applyFont="1" applyFill="1" applyAlignment="1">
      <alignment horizontal="center" vertical="center"/>
    </xf>
    <xf numFmtId="0" fontId="14" fillId="2" borderId="0" xfId="0" applyFont="1" applyFill="1" applyAlignment="1">
      <alignment horizontal="center" vertical="center"/>
    </xf>
    <xf numFmtId="164" fontId="10" fillId="2" borderId="0" xfId="0" applyNumberFormat="1" applyFont="1" applyFill="1" applyAlignment="1">
      <alignment vertical="center"/>
    </xf>
    <xf numFmtId="0" fontId="10" fillId="7" borderId="8" xfId="0" applyFont="1" applyFill="1" applyBorder="1" applyAlignment="1">
      <alignment vertical="center" wrapText="1"/>
    </xf>
    <xf numFmtId="0" fontId="10" fillId="6" borderId="18"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7" borderId="11" xfId="0" applyFont="1" applyFill="1" applyBorder="1" applyAlignment="1" applyProtection="1">
      <alignment horizontal="center" vertical="center"/>
      <protection locked="0"/>
    </xf>
    <xf numFmtId="0" fontId="10" fillId="7" borderId="10" xfId="0" applyFont="1" applyFill="1" applyBorder="1" applyAlignment="1" applyProtection="1">
      <alignment vertical="center"/>
      <protection locked="0"/>
    </xf>
    <xf numFmtId="0" fontId="10" fillId="0" borderId="0" xfId="0" applyFont="1" applyAlignment="1">
      <alignment horizontal="center" vertical="center"/>
    </xf>
    <xf numFmtId="9" fontId="10" fillId="7" borderId="0" xfId="0" applyNumberFormat="1" applyFont="1" applyFill="1" applyAlignment="1">
      <alignment horizontal="center" vertical="center"/>
    </xf>
    <xf numFmtId="164" fontId="10" fillId="7" borderId="0" xfId="0" applyNumberFormat="1" applyFont="1" applyFill="1" applyAlignment="1">
      <alignment horizontal="center" vertical="center"/>
    </xf>
    <xf numFmtId="0" fontId="10" fillId="6" borderId="19" xfId="0" quotePrefix="1" applyFont="1" applyFill="1" applyBorder="1" applyAlignment="1">
      <alignment horizontal="center" vertical="center" wrapText="1"/>
    </xf>
    <xf numFmtId="0" fontId="10" fillId="7" borderId="12" xfId="0" applyFont="1" applyFill="1" applyBorder="1" applyAlignment="1" applyProtection="1">
      <alignment horizontal="center" vertical="center"/>
      <protection locked="0"/>
    </xf>
    <xf numFmtId="0" fontId="10" fillId="7" borderId="13" xfId="0" applyFont="1" applyFill="1" applyBorder="1" applyAlignment="1" applyProtection="1">
      <alignment horizontal="center" vertical="center"/>
      <protection locked="0"/>
    </xf>
    <xf numFmtId="0" fontId="10" fillId="7" borderId="0" xfId="0" applyFont="1" applyFill="1" applyAlignment="1">
      <alignment vertical="center" wrapText="1"/>
    </xf>
    <xf numFmtId="0" fontId="10" fillId="7" borderId="0" xfId="0" applyFont="1" applyFill="1" applyAlignment="1">
      <alignment horizontal="center" vertical="center" wrapText="1"/>
    </xf>
    <xf numFmtId="0" fontId="10" fillId="0" borderId="0" xfId="0" applyFont="1"/>
    <xf numFmtId="0" fontId="10" fillId="7" borderId="0" xfId="0" applyFont="1" applyFill="1" applyAlignment="1" applyProtection="1">
      <alignment vertical="center"/>
      <protection locked="0"/>
    </xf>
    <xf numFmtId="9" fontId="13" fillId="0" borderId="1" xfId="0" applyNumberFormat="1" applyFont="1" applyBorder="1" applyAlignment="1" applyProtection="1">
      <alignment horizontal="center" vertical="center"/>
      <protection locked="0"/>
    </xf>
    <xf numFmtId="0" fontId="10" fillId="6" borderId="20" xfId="0" applyFont="1" applyFill="1" applyBorder="1" applyAlignment="1">
      <alignment horizontal="center" vertical="center"/>
    </xf>
    <xf numFmtId="0" fontId="10" fillId="7" borderId="10" xfId="0" applyFont="1" applyFill="1" applyBorder="1" applyAlignment="1">
      <alignment vertical="center"/>
    </xf>
    <xf numFmtId="9" fontId="10" fillId="7" borderId="0" xfId="0" applyNumberFormat="1" applyFont="1" applyFill="1" applyAlignment="1">
      <alignment vertical="center"/>
    </xf>
    <xf numFmtId="16" fontId="10" fillId="7" borderId="0" xfId="0" quotePrefix="1" applyNumberFormat="1" applyFont="1" applyFill="1" applyAlignment="1">
      <alignment horizontal="center" vertical="center" wrapText="1"/>
    </xf>
    <xf numFmtId="0" fontId="10" fillId="7" borderId="1" xfId="0" applyFont="1" applyFill="1" applyBorder="1" applyAlignment="1">
      <alignment horizontal="center" vertical="center"/>
    </xf>
    <xf numFmtId="0" fontId="10" fillId="7" borderId="0" xfId="0" applyFont="1" applyFill="1" applyAlignment="1">
      <alignment horizontal="center"/>
    </xf>
    <xf numFmtId="16" fontId="10" fillId="6" borderId="19" xfId="0" quotePrefix="1" applyNumberFormat="1" applyFont="1" applyFill="1" applyBorder="1" applyAlignment="1">
      <alignment horizontal="center" vertical="center" wrapText="1"/>
    </xf>
    <xf numFmtId="0" fontId="10" fillId="8" borderId="0" xfId="0" applyFont="1" applyFill="1" applyAlignment="1">
      <alignment horizontal="center" vertical="center"/>
    </xf>
    <xf numFmtId="0" fontId="10" fillId="0" borderId="8" xfId="0" applyFont="1" applyBorder="1" applyAlignment="1">
      <alignment vertical="center" wrapText="1"/>
    </xf>
    <xf numFmtId="9" fontId="10" fillId="6" borderId="18" xfId="0" applyNumberFormat="1" applyFont="1" applyFill="1" applyBorder="1" applyAlignment="1">
      <alignment horizontal="center" vertical="center" wrapText="1"/>
    </xf>
    <xf numFmtId="9" fontId="10" fillId="6" borderId="19" xfId="0" applyNumberFormat="1" applyFont="1" applyFill="1" applyBorder="1" applyAlignment="1">
      <alignment horizontal="center" vertical="center" wrapText="1"/>
    </xf>
    <xf numFmtId="9" fontId="10" fillId="6" borderId="20" xfId="0" applyNumberFormat="1" applyFont="1" applyFill="1" applyBorder="1" applyAlignment="1">
      <alignment horizontal="center" vertical="center"/>
    </xf>
    <xf numFmtId="0" fontId="13" fillId="5" borderId="0" xfId="0" applyFont="1" applyFill="1" applyAlignment="1">
      <alignment horizontal="center" vertical="center"/>
    </xf>
    <xf numFmtId="0" fontId="10" fillId="2" borderId="0" xfId="0" applyFont="1" applyFill="1" applyAlignment="1">
      <alignment vertical="center"/>
    </xf>
    <xf numFmtId="9" fontId="13" fillId="4" borderId="1" xfId="0" applyNumberFormat="1" applyFont="1" applyFill="1" applyBorder="1" applyAlignment="1">
      <alignment horizontal="center" vertical="center"/>
    </xf>
    <xf numFmtId="0" fontId="10" fillId="2" borderId="0" xfId="0" applyFont="1" applyFill="1"/>
    <xf numFmtId="9" fontId="10" fillId="2" borderId="0" xfId="0" applyNumberFormat="1" applyFont="1" applyFill="1" applyAlignment="1">
      <alignment horizontal="center" vertical="center"/>
    </xf>
    <xf numFmtId="0" fontId="10" fillId="6" borderId="9" xfId="0" applyFont="1" applyFill="1" applyBorder="1" applyAlignment="1">
      <alignment horizontal="center" vertical="center" wrapText="1"/>
    </xf>
    <xf numFmtId="0" fontId="10" fillId="6" borderId="21" xfId="0" applyFont="1" applyFill="1" applyBorder="1" applyAlignment="1">
      <alignment horizontal="center" vertical="center" wrapText="1"/>
    </xf>
    <xf numFmtId="9" fontId="10" fillId="7" borderId="1" xfId="0" applyNumberFormat="1" applyFont="1" applyFill="1" applyBorder="1" applyAlignment="1">
      <alignment horizontal="center" vertical="center"/>
    </xf>
    <xf numFmtId="0" fontId="10" fillId="7" borderId="0" xfId="0" applyFont="1" applyFill="1" applyAlignment="1">
      <alignment wrapText="1"/>
    </xf>
    <xf numFmtId="0" fontId="13" fillId="5" borderId="0" xfId="0" applyFont="1" applyFill="1" applyAlignment="1">
      <alignment vertical="center"/>
    </xf>
    <xf numFmtId="0" fontId="13" fillId="5" borderId="0" xfId="0" applyFont="1" applyFill="1" applyAlignment="1">
      <alignment horizontal="center" vertical="center" wrapText="1"/>
    </xf>
    <xf numFmtId="0" fontId="10" fillId="6" borderId="14" xfId="0" applyFont="1" applyFill="1" applyBorder="1" applyAlignment="1">
      <alignment vertical="center"/>
    </xf>
    <xf numFmtId="0" fontId="13" fillId="6" borderId="15" xfId="0" applyFont="1" applyFill="1" applyBorder="1" applyAlignment="1">
      <alignment vertical="center"/>
    </xf>
    <xf numFmtId="0" fontId="10" fillId="7" borderId="15" xfId="0" applyFont="1" applyFill="1" applyBorder="1" applyAlignment="1">
      <alignment vertical="center" wrapText="1"/>
    </xf>
    <xf numFmtId="0" fontId="10" fillId="6" borderId="15" xfId="0" applyFont="1" applyFill="1" applyBorder="1" applyAlignment="1">
      <alignment vertical="center" wrapText="1"/>
    </xf>
    <xf numFmtId="0" fontId="10" fillId="7" borderId="16" xfId="0" applyFont="1" applyFill="1" applyBorder="1" applyAlignment="1">
      <alignment vertical="center" wrapText="1"/>
    </xf>
    <xf numFmtId="0" fontId="10" fillId="6" borderId="14" xfId="0" applyFont="1" applyFill="1" applyBorder="1" applyAlignment="1">
      <alignment vertical="center" wrapText="1"/>
    </xf>
    <xf numFmtId="0" fontId="15" fillId="7" borderId="0" xfId="0" applyFont="1" applyFill="1" applyAlignment="1">
      <alignment horizontal="left" vertical="center"/>
    </xf>
    <xf numFmtId="0" fontId="10" fillId="7" borderId="0" xfId="0" applyFont="1" applyFill="1" applyAlignment="1">
      <alignment horizontal="left"/>
    </xf>
    <xf numFmtId="0" fontId="10" fillId="7" borderId="0" xfId="0" applyFont="1" applyFill="1" applyAlignment="1">
      <alignment horizontal="left" wrapText="1"/>
    </xf>
    <xf numFmtId="0" fontId="16" fillId="2" borderId="0" xfId="0" applyFont="1" applyFill="1" applyAlignment="1">
      <alignment horizontal="center" vertical="center"/>
    </xf>
    <xf numFmtId="0" fontId="10" fillId="2" borderId="0" xfId="0" applyFont="1" applyFill="1" applyAlignment="1">
      <alignment horizontal="left"/>
    </xf>
    <xf numFmtId="0" fontId="15" fillId="2" borderId="0" xfId="0" applyFont="1" applyFill="1" applyAlignment="1">
      <alignment horizontal="left" vertical="center"/>
    </xf>
    <xf numFmtId="0" fontId="10" fillId="2" borderId="0" xfId="0" applyFont="1" applyFill="1" applyAlignment="1">
      <alignment horizontal="left" wrapText="1"/>
    </xf>
    <xf numFmtId="0" fontId="10" fillId="2" borderId="0" xfId="0" applyFont="1" applyFill="1" applyAlignment="1">
      <alignment wrapText="1"/>
    </xf>
    <xf numFmtId="0" fontId="13" fillId="4" borderId="0" xfId="0" applyFont="1" applyFill="1" applyAlignment="1">
      <alignment vertical="center"/>
    </xf>
    <xf numFmtId="0" fontId="13" fillId="4" borderId="0" xfId="0" applyFont="1" applyFill="1" applyAlignment="1">
      <alignment horizontal="center" vertical="center" wrapText="1"/>
    </xf>
    <xf numFmtId="0" fontId="13" fillId="6" borderId="15" xfId="0" applyFont="1" applyFill="1" applyBorder="1" applyAlignment="1">
      <alignment vertical="center" wrapText="1"/>
    </xf>
    <xf numFmtId="0" fontId="13" fillId="0" borderId="0" xfId="0" applyFont="1" applyAlignment="1">
      <alignment horizontal="center" vertical="center"/>
    </xf>
    <xf numFmtId="0" fontId="10" fillId="6" borderId="17" xfId="0" applyFont="1" applyFill="1" applyBorder="1" applyAlignment="1">
      <alignment vertical="center" wrapText="1"/>
    </xf>
    <xf numFmtId="0" fontId="10" fillId="0" borderId="15" xfId="0" applyFont="1" applyBorder="1" applyAlignment="1">
      <alignment vertical="center" wrapText="1"/>
    </xf>
    <xf numFmtId="0" fontId="10" fillId="7" borderId="0" xfId="0" applyFont="1" applyFill="1" applyAlignment="1">
      <alignment horizontal="left" vertical="center" wrapText="1"/>
    </xf>
    <xf numFmtId="0" fontId="13" fillId="7" borderId="0" xfId="0" applyFont="1" applyFill="1" applyAlignment="1">
      <alignment horizontal="center" vertical="center"/>
    </xf>
    <xf numFmtId="0" fontId="12" fillId="7" borderId="0" xfId="0" applyFont="1" applyFill="1" applyAlignment="1">
      <alignment horizontal="center"/>
    </xf>
    <xf numFmtId="0" fontId="12" fillId="0" borderId="0" xfId="0" applyFont="1" applyAlignment="1">
      <alignment horizontal="center"/>
    </xf>
    <xf numFmtId="9" fontId="10" fillId="0" borderId="0" xfId="0" applyNumberFormat="1" applyFont="1" applyAlignment="1">
      <alignment horizontal="center"/>
    </xf>
    <xf numFmtId="0" fontId="13" fillId="2" borderId="0" xfId="0" applyFont="1" applyFill="1"/>
    <xf numFmtId="0" fontId="10" fillId="9" borderId="0" xfId="0" applyFont="1" applyFill="1" applyAlignment="1">
      <alignment horizontal="center"/>
    </xf>
    <xf numFmtId="0" fontId="10" fillId="4" borderId="0" xfId="0" applyFont="1" applyFill="1" applyAlignment="1">
      <alignment horizontal="center"/>
    </xf>
    <xf numFmtId="0" fontId="13" fillId="3" borderId="0" xfId="0" applyFont="1" applyFill="1" applyAlignment="1">
      <alignment horizontal="center"/>
    </xf>
    <xf numFmtId="0" fontId="13" fillId="6" borderId="0" xfId="0" applyFont="1" applyFill="1" applyAlignment="1">
      <alignment horizontal="right"/>
    </xf>
    <xf numFmtId="9" fontId="13" fillId="6" borderId="0" xfId="0" applyNumberFormat="1" applyFont="1" applyFill="1" applyAlignment="1">
      <alignment horizontal="center"/>
    </xf>
    <xf numFmtId="9" fontId="10" fillId="3" borderId="0" xfId="0" applyNumberFormat="1" applyFont="1" applyFill="1" applyAlignment="1">
      <alignment horizontal="center"/>
    </xf>
    <xf numFmtId="164" fontId="10" fillId="0" borderId="0" xfId="0" applyNumberFormat="1" applyFont="1"/>
    <xf numFmtId="164" fontId="10" fillId="7" borderId="0" xfId="0" applyNumberFormat="1" applyFont="1" applyFill="1" applyAlignment="1">
      <alignment horizontal="center"/>
    </xf>
    <xf numFmtId="164" fontId="10" fillId="8" borderId="0" xfId="0" applyNumberFormat="1" applyFont="1" applyFill="1" applyAlignment="1">
      <alignment horizontal="center"/>
    </xf>
    <xf numFmtId="9" fontId="10" fillId="7" borderId="0" xfId="0" applyNumberFormat="1" applyFont="1" applyFill="1" applyAlignment="1">
      <alignment horizontal="center"/>
    </xf>
    <xf numFmtId="0" fontId="13" fillId="2" borderId="0" xfId="0" applyFont="1" applyFill="1" applyAlignment="1">
      <alignment horizontal="center"/>
    </xf>
    <xf numFmtId="0" fontId="10" fillId="0" borderId="0" xfId="0" applyFont="1" applyAlignment="1">
      <alignment vertical="center"/>
    </xf>
    <xf numFmtId="0" fontId="10" fillId="0" borderId="0" xfId="0" applyFont="1" applyAlignment="1">
      <alignment horizontal="right" vertical="center"/>
    </xf>
    <xf numFmtId="165" fontId="10" fillId="0" borderId="0" xfId="0" applyNumberFormat="1" applyFont="1" applyAlignment="1">
      <alignment horizontal="center" vertical="center"/>
    </xf>
    <xf numFmtId="165" fontId="13" fillId="0" borderId="1" xfId="0" applyNumberFormat="1" applyFont="1" applyBorder="1" applyAlignment="1">
      <alignment horizontal="center" vertical="center"/>
    </xf>
    <xf numFmtId="165" fontId="10" fillId="0" borderId="0" xfId="0" applyNumberFormat="1" applyFont="1" applyAlignment="1">
      <alignment horizontal="center"/>
    </xf>
    <xf numFmtId="0" fontId="10" fillId="0" borderId="0" xfId="0" applyFont="1" applyAlignment="1">
      <alignment horizontal="center"/>
    </xf>
    <xf numFmtId="0" fontId="13" fillId="0" borderId="0" xfId="0" applyFont="1" applyAlignment="1">
      <alignment horizontal="center"/>
    </xf>
    <xf numFmtId="0" fontId="13" fillId="2" borderId="0" xfId="0" applyFont="1" applyFill="1" applyAlignment="1">
      <alignment vertical="top"/>
    </xf>
    <xf numFmtId="0" fontId="10" fillId="6" borderId="0" xfId="0" applyFont="1" applyFill="1" applyAlignment="1">
      <alignment vertical="top" wrapText="1"/>
    </xf>
    <xf numFmtId="0" fontId="13" fillId="6" borderId="0" xfId="0" applyFont="1" applyFill="1" applyAlignment="1">
      <alignment vertical="center" wrapText="1"/>
    </xf>
    <xf numFmtId="0" fontId="10" fillId="0" borderId="1"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0" xfId="0" applyFont="1" applyFill="1" applyAlignment="1">
      <alignment vertical="top" wrapText="1"/>
    </xf>
    <xf numFmtId="0" fontId="13" fillId="7" borderId="0" xfId="0" applyFont="1" applyFill="1" applyAlignment="1">
      <alignment vertical="top" wrapText="1"/>
    </xf>
    <xf numFmtId="0" fontId="17" fillId="7" borderId="0" xfId="0" applyFont="1" applyFill="1" applyAlignment="1">
      <alignment horizontal="center"/>
    </xf>
    <xf numFmtId="6" fontId="17" fillId="7" borderId="0" xfId="0" applyNumberFormat="1" applyFont="1" applyFill="1" applyAlignment="1">
      <alignment horizontal="center"/>
    </xf>
    <xf numFmtId="6" fontId="10" fillId="0" borderId="0" xfId="0" applyNumberFormat="1" applyFont="1"/>
    <xf numFmtId="6" fontId="10" fillId="0" borderId="2" xfId="0" applyNumberFormat="1" applyFont="1" applyBorder="1" applyAlignment="1">
      <alignment horizontal="center"/>
    </xf>
    <xf numFmtId="6" fontId="10" fillId="0" borderId="3" xfId="0" applyNumberFormat="1" applyFont="1" applyBorder="1" applyAlignment="1">
      <alignment horizontal="center"/>
    </xf>
    <xf numFmtId="6" fontId="10" fillId="0" borderId="4" xfId="0" applyNumberFormat="1" applyFont="1" applyBorder="1" applyAlignment="1">
      <alignment horizontal="center"/>
    </xf>
    <xf numFmtId="6" fontId="10" fillId="0" borderId="5" xfId="0" applyNumberFormat="1" applyFont="1" applyBorder="1" applyAlignment="1">
      <alignment horizontal="center"/>
    </xf>
    <xf numFmtId="6" fontId="10" fillId="0" borderId="6" xfId="0" applyNumberFormat="1" applyFont="1" applyBorder="1" applyAlignment="1">
      <alignment horizontal="center"/>
    </xf>
    <xf numFmtId="6" fontId="10" fillId="0" borderId="7" xfId="0" applyNumberFormat="1" applyFont="1" applyBorder="1" applyAlignment="1">
      <alignment horizontal="center"/>
    </xf>
    <xf numFmtId="9" fontId="10" fillId="7" borderId="0" xfId="0" applyNumberFormat="1" applyFont="1" applyFill="1"/>
    <xf numFmtId="0" fontId="10" fillId="7" borderId="0" xfId="0" applyFont="1" applyFill="1" applyAlignment="1">
      <alignment vertical="top"/>
    </xf>
    <xf numFmtId="0" fontId="10" fillId="6" borderId="0" xfId="0" applyFont="1" applyFill="1" applyAlignment="1">
      <alignment vertical="center"/>
    </xf>
    <xf numFmtId="0" fontId="10" fillId="6" borderId="0" xfId="0" applyFont="1" applyFill="1" applyAlignment="1">
      <alignment horizontal="center" vertical="center"/>
    </xf>
    <xf numFmtId="0" fontId="13" fillId="9" borderId="0" xfId="0" applyFont="1" applyFill="1" applyAlignment="1">
      <alignment horizontal="center" vertical="center"/>
    </xf>
    <xf numFmtId="0" fontId="13" fillId="3" borderId="0" xfId="0" applyFont="1" applyFill="1" applyAlignment="1">
      <alignment horizontal="center" vertical="center"/>
    </xf>
    <xf numFmtId="0" fontId="13" fillId="8" borderId="0" xfId="0" applyFont="1" applyFill="1" applyAlignment="1">
      <alignment horizontal="center" vertical="center"/>
    </xf>
    <xf numFmtId="167" fontId="10" fillId="7" borderId="0" xfId="0" applyNumberFormat="1" applyFont="1" applyFill="1" applyAlignment="1">
      <alignment horizontal="center" vertical="center"/>
    </xf>
    <xf numFmtId="166" fontId="10" fillId="7" borderId="0" xfId="0" applyNumberFormat="1" applyFont="1" applyFill="1" applyAlignment="1">
      <alignment horizontal="center" vertical="center"/>
    </xf>
    <xf numFmtId="9" fontId="13" fillId="0" borderId="1" xfId="0" applyNumberFormat="1" applyFont="1" applyBorder="1" applyAlignment="1">
      <alignment horizontal="center" vertical="center"/>
    </xf>
    <xf numFmtId="164" fontId="10" fillId="7" borderId="0" xfId="0" applyNumberFormat="1" applyFont="1" applyFill="1" applyAlignment="1">
      <alignment vertical="center"/>
    </xf>
    <xf numFmtId="168" fontId="15" fillId="10" borderId="0" xfId="0" applyNumberFormat="1" applyFont="1" applyFill="1" applyAlignment="1">
      <alignment horizontal="center" vertical="center"/>
    </xf>
    <xf numFmtId="0" fontId="11" fillId="6" borderId="0" xfId="0" applyFont="1" applyFill="1" applyAlignment="1">
      <alignment vertical="center"/>
    </xf>
    <xf numFmtId="0" fontId="12" fillId="6" borderId="0" xfId="0" applyFont="1" applyFill="1" applyAlignment="1">
      <alignment horizontal="center" vertical="center"/>
    </xf>
    <xf numFmtId="0" fontId="20" fillId="0" borderId="0" xfId="0" applyFont="1" applyAlignment="1">
      <alignment horizontal="center"/>
    </xf>
    <xf numFmtId="0" fontId="13" fillId="0" borderId="0" xfId="0" applyFont="1"/>
    <xf numFmtId="0" fontId="10" fillId="7" borderId="23" xfId="0" applyFont="1" applyFill="1" applyBorder="1" applyAlignment="1">
      <alignment horizontal="center" vertical="center"/>
    </xf>
    <xf numFmtId="0" fontId="10" fillId="7" borderId="24" xfId="0" applyFont="1" applyFill="1" applyBorder="1" applyAlignment="1">
      <alignment horizontal="center" vertical="center"/>
    </xf>
    <xf numFmtId="9" fontId="10" fillId="0" borderId="0" xfId="0" applyNumberFormat="1" applyFont="1" applyAlignment="1">
      <alignment horizontal="center" vertical="center"/>
    </xf>
    <xf numFmtId="0" fontId="0" fillId="11" borderId="0" xfId="0" applyFill="1" applyAlignment="1">
      <alignment vertical="center"/>
    </xf>
    <xf numFmtId="9" fontId="13" fillId="0" borderId="22" xfId="0" applyNumberFormat="1" applyFont="1" applyBorder="1" applyAlignment="1">
      <alignment horizontal="center" vertical="center"/>
    </xf>
    <xf numFmtId="0" fontId="0" fillId="7" borderId="0" xfId="0" applyFill="1"/>
    <xf numFmtId="0" fontId="10" fillId="0" borderId="11"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1" fillId="6" borderId="0" xfId="0" applyFont="1" applyFill="1" applyAlignment="1">
      <alignment horizontal="center"/>
    </xf>
    <xf numFmtId="0" fontId="10" fillId="6" borderId="0" xfId="0" applyFont="1" applyFill="1" applyAlignment="1">
      <alignment horizontal="center" vertical="center" wrapText="1"/>
    </xf>
    <xf numFmtId="0" fontId="0" fillId="9" borderId="0" xfId="0" applyFill="1"/>
    <xf numFmtId="0" fontId="21" fillId="0" borderId="0" xfId="0" applyFont="1" applyAlignment="1">
      <alignment horizontal="center"/>
    </xf>
    <xf numFmtId="0" fontId="21" fillId="3" borderId="0" xfId="0" applyFont="1" applyFill="1"/>
    <xf numFmtId="0" fontId="21" fillId="8" borderId="0" xfId="0" applyFont="1" applyFill="1"/>
    <xf numFmtId="0" fontId="21" fillId="9" borderId="0" xfId="0" applyFont="1" applyFill="1" applyAlignment="1">
      <alignment horizontal="center"/>
    </xf>
    <xf numFmtId="0" fontId="21" fillId="3" borderId="1" xfId="0" applyFont="1" applyFill="1" applyBorder="1" applyAlignment="1">
      <alignment horizontal="center"/>
    </xf>
    <xf numFmtId="0" fontId="21" fillId="8" borderId="1" xfId="0" applyFont="1" applyFill="1" applyBorder="1" applyAlignment="1">
      <alignment horizontal="center"/>
    </xf>
    <xf numFmtId="0" fontId="21" fillId="3" borderId="0" xfId="0" applyFont="1" applyFill="1" applyAlignment="1">
      <alignment horizontal="center"/>
    </xf>
    <xf numFmtId="0" fontId="21" fillId="8" borderId="0" xfId="0" applyFont="1" applyFill="1" applyAlignment="1">
      <alignment horizontal="center"/>
    </xf>
    <xf numFmtId="0" fontId="0" fillId="0" borderId="0" xfId="0" applyAlignment="1">
      <alignment horizontal="right" indent="1"/>
    </xf>
    <xf numFmtId="0" fontId="0" fillId="6" borderId="0" xfId="0" applyFill="1" applyAlignment="1">
      <alignment horizontal="center"/>
    </xf>
    <xf numFmtId="0" fontId="10" fillId="0" borderId="10" xfId="0" applyFont="1" applyBorder="1" applyAlignment="1">
      <alignment vertical="center" wrapText="1"/>
    </xf>
    <xf numFmtId="9" fontId="0" fillId="6" borderId="0" xfId="0" applyNumberFormat="1" applyFill="1" applyAlignment="1">
      <alignment horizontal="center"/>
    </xf>
    <xf numFmtId="0" fontId="21" fillId="9" borderId="0" xfId="0" applyFont="1" applyFill="1"/>
    <xf numFmtId="0" fontId="0" fillId="6" borderId="0" xfId="0" applyFill="1"/>
    <xf numFmtId="9" fontId="0" fillId="9" borderId="0" xfId="0" applyNumberFormat="1" applyFill="1" applyAlignment="1">
      <alignment horizontal="center"/>
    </xf>
    <xf numFmtId="0" fontId="21" fillId="6" borderId="0" xfId="0" applyFont="1" applyFill="1" applyAlignment="1">
      <alignment horizontal="right" indent="1"/>
    </xf>
    <xf numFmtId="0" fontId="21" fillId="6" borderId="0" xfId="0" applyFont="1" applyFill="1"/>
    <xf numFmtId="0" fontId="21" fillId="9" borderId="0" xfId="0" applyFont="1" applyFill="1" applyAlignment="1">
      <alignment horizontal="right" indent="1"/>
    </xf>
    <xf numFmtId="0" fontId="21" fillId="0" borderId="0" xfId="0" applyFont="1" applyAlignment="1">
      <alignment horizontal="center" vertical="center"/>
    </xf>
    <xf numFmtId="0" fontId="0" fillId="9" borderId="0" xfId="0" applyFill="1" applyAlignment="1">
      <alignment horizontal="center"/>
    </xf>
    <xf numFmtId="169" fontId="0" fillId="6" borderId="0" xfId="0" applyNumberFormat="1" applyFill="1" applyAlignment="1">
      <alignment horizontal="center"/>
    </xf>
    <xf numFmtId="6" fontId="0" fillId="7" borderId="29" xfId="0" applyNumberFormat="1" applyFill="1" applyBorder="1" applyAlignment="1">
      <alignment horizontal="center"/>
    </xf>
    <xf numFmtId="6" fontId="0" fillId="7" borderId="30" xfId="0" applyNumberFormat="1" applyFill="1" applyBorder="1" applyAlignment="1">
      <alignment horizontal="center"/>
    </xf>
    <xf numFmtId="9" fontId="21" fillId="9" borderId="1" xfId="0" applyNumberFormat="1" applyFont="1" applyFill="1" applyBorder="1" applyAlignment="1">
      <alignment horizontal="center"/>
    </xf>
    <xf numFmtId="0" fontId="0" fillId="12" borderId="0" xfId="0" applyFill="1"/>
    <xf numFmtId="0" fontId="21" fillId="9" borderId="0" xfId="0" applyFont="1" applyFill="1" applyAlignment="1">
      <alignment horizontal="left"/>
    </xf>
    <xf numFmtId="168" fontId="15" fillId="10" borderId="25" xfId="0" applyNumberFormat="1" applyFont="1" applyFill="1" applyBorder="1" applyAlignment="1">
      <alignment horizontal="center" vertical="center"/>
    </xf>
    <xf numFmtId="0" fontId="0" fillId="0" borderId="0" xfId="0" applyAlignment="1">
      <alignment horizontal="center" vertical="center"/>
    </xf>
    <xf numFmtId="0" fontId="0" fillId="0" borderId="22" xfId="0" applyBorder="1" applyAlignment="1">
      <alignment horizontal="center" vertical="center"/>
    </xf>
    <xf numFmtId="0" fontId="10" fillId="7" borderId="25" xfId="0" applyFont="1" applyFill="1" applyBorder="1" applyAlignment="1">
      <alignment horizontal="left" vertical="center" indent="1"/>
    </xf>
    <xf numFmtId="0" fontId="0" fillId="0" borderId="0" xfId="0" applyAlignment="1">
      <alignment horizontal="left" vertical="center" indent="1"/>
    </xf>
    <xf numFmtId="0" fontId="0" fillId="0" borderId="22" xfId="0" applyBorder="1" applyAlignment="1">
      <alignment horizontal="left" vertical="center" indent="1"/>
    </xf>
    <xf numFmtId="168" fontId="18" fillId="10" borderId="0" xfId="0" applyNumberFormat="1" applyFont="1" applyFill="1" applyAlignment="1">
      <alignment horizontal="left" vertical="center"/>
    </xf>
    <xf numFmtId="0" fontId="21" fillId="0" borderId="0" xfId="0" applyFont="1" applyAlignment="1">
      <alignment vertical="center"/>
    </xf>
    <xf numFmtId="0" fontId="10" fillId="7" borderId="0" xfId="0" applyFont="1" applyFill="1" applyAlignment="1">
      <alignment vertical="center"/>
    </xf>
    <xf numFmtId="0" fontId="0" fillId="0" borderId="0" xfId="0" applyAlignment="1">
      <alignment vertical="center"/>
    </xf>
    <xf numFmtId="0" fontId="0" fillId="0" borderId="22" xfId="0" applyBorder="1" applyAlignment="1">
      <alignment vertical="center"/>
    </xf>
    <xf numFmtId="0" fontId="10" fillId="7" borderId="0" xfId="0" applyFont="1" applyFill="1" applyAlignment="1">
      <alignment horizontal="center" vertical="center"/>
    </xf>
    <xf numFmtId="0" fontId="10" fillId="7" borderId="26" xfId="0" applyFont="1" applyFill="1" applyBorder="1" applyAlignment="1">
      <alignment horizontal="left" vertical="center" indent="1"/>
    </xf>
    <xf numFmtId="0" fontId="0" fillId="0" borderId="27" xfId="0" applyBorder="1" applyAlignment="1">
      <alignment horizontal="left" vertical="center" indent="1"/>
    </xf>
    <xf numFmtId="0" fontId="0" fillId="0" borderId="28" xfId="0" applyBorder="1" applyAlignment="1">
      <alignment horizontal="left" vertical="center" indent="1"/>
    </xf>
    <xf numFmtId="0" fontId="15" fillId="7" borderId="0" xfId="0" applyFont="1" applyFill="1" applyAlignment="1">
      <alignment horizontal="left" vertical="center" indent="3"/>
    </xf>
    <xf numFmtId="0" fontId="10" fillId="7" borderId="0" xfId="0" applyFont="1" applyFill="1" applyAlignment="1">
      <alignment horizontal="left" vertical="center" indent="3"/>
    </xf>
    <xf numFmtId="0" fontId="0" fillId="7" borderId="0" xfId="0" applyFill="1" applyAlignment="1">
      <alignment horizontal="left" vertical="center" indent="3"/>
    </xf>
    <xf numFmtId="0" fontId="18" fillId="10" borderId="25" xfId="0" applyFont="1" applyFill="1" applyBorder="1" applyAlignment="1">
      <alignment vertical="center"/>
    </xf>
    <xf numFmtId="0" fontId="13" fillId="7" borderId="0" xfId="0" applyFont="1" applyFill="1" applyAlignment="1">
      <alignment horizontal="left" vertical="center"/>
    </xf>
    <xf numFmtId="0" fontId="0" fillId="13" borderId="0" xfId="0" applyFill="1"/>
    <xf numFmtId="0" fontId="21" fillId="13" borderId="0" xfId="0" applyFont="1" applyFill="1" applyAlignment="1">
      <alignment horizontal="center"/>
    </xf>
  </cellXfs>
  <cellStyles count="1">
    <cellStyle name="Normal" xfId="0" builtinId="0"/>
  </cellStyles>
  <dxfs count="44">
    <dxf>
      <fill>
        <gradientFill>
          <stop position="0">
            <color theme="5" tint="0.40000610370189521"/>
          </stop>
          <stop position="0.5">
            <color theme="5" tint="0.80001220740379042"/>
          </stop>
          <stop position="1">
            <color theme="5" tint="0.40000610370189521"/>
          </stop>
        </gradientFill>
      </fill>
    </dxf>
    <dxf>
      <fill>
        <gradientFill>
          <stop position="0">
            <color theme="5" tint="0.59999389629810485"/>
          </stop>
          <stop position="0.5">
            <color theme="7" tint="0.80001220740379042"/>
          </stop>
          <stop position="1">
            <color theme="5" tint="0.59999389629810485"/>
          </stop>
        </gradientFill>
      </fill>
    </dxf>
    <dxf>
      <fill>
        <gradientFill>
          <stop position="0">
            <color theme="7" tint="0.40000610370189521"/>
          </stop>
          <stop position="0.5">
            <color theme="7" tint="0.80001220740379042"/>
          </stop>
          <stop position="1">
            <color theme="7" tint="0.40000610370189521"/>
          </stop>
        </gradientFill>
      </fill>
    </dxf>
    <dxf>
      <fill>
        <patternFill patternType="solid">
          <fgColor auto="1"/>
          <bgColor theme="9" tint="0.59996337778862885"/>
        </patternFill>
      </fill>
    </dxf>
    <dxf>
      <fill>
        <gradientFill>
          <stop position="0">
            <color theme="5" tint="0.59999389629810485"/>
          </stop>
          <stop position="0.5">
            <color theme="0"/>
          </stop>
          <stop position="1">
            <color theme="5" tint="0.59999389629810485"/>
          </stop>
        </gradientFill>
      </fill>
    </dxf>
    <dxf>
      <fill>
        <gradientFill>
          <stop position="0">
            <color theme="7" tint="0.59999389629810485"/>
          </stop>
          <stop position="0.5">
            <color theme="0"/>
          </stop>
          <stop position="1">
            <color theme="7" tint="0.59999389629810485"/>
          </stop>
        </gradientFill>
      </fill>
    </dxf>
    <dxf>
      <fill>
        <gradientFill>
          <stop position="0">
            <color rgb="FF92D050"/>
          </stop>
          <stop position="0.5">
            <color theme="0"/>
          </stop>
          <stop position="1">
            <color rgb="FF92D050"/>
          </stop>
        </gradientFill>
      </fill>
    </dxf>
    <dxf>
      <fill>
        <gradientFill>
          <stop position="0">
            <color theme="5" tint="0.40000610370189521"/>
          </stop>
          <stop position="0.5">
            <color theme="5" tint="0.80001220740379042"/>
          </stop>
          <stop position="1">
            <color theme="5" tint="0.40000610370189521"/>
          </stop>
        </gradientFill>
      </fill>
    </dxf>
    <dxf>
      <fill>
        <gradientFill>
          <stop position="0">
            <color theme="5" tint="0.59999389629810485"/>
          </stop>
          <stop position="0.5">
            <color theme="7" tint="0.80001220740379042"/>
          </stop>
          <stop position="1">
            <color theme="5" tint="0.59999389629810485"/>
          </stop>
        </gradientFill>
      </fill>
    </dxf>
    <dxf>
      <fill>
        <gradientFill>
          <stop position="0">
            <color theme="7" tint="0.40000610370189521"/>
          </stop>
          <stop position="0.5">
            <color theme="7" tint="0.80001220740379042"/>
          </stop>
          <stop position="1">
            <color theme="7" tint="0.40000610370189521"/>
          </stop>
        </gradientFill>
      </fill>
    </dxf>
    <dxf>
      <fill>
        <patternFill patternType="solid">
          <fgColor auto="1"/>
          <bgColor theme="9" tint="0.59996337778862885"/>
        </patternFill>
      </fill>
    </dxf>
    <dxf>
      <fill>
        <gradientFill>
          <stop position="0">
            <color theme="5" tint="0.40000610370189521"/>
          </stop>
          <stop position="0.5">
            <color theme="5" tint="0.80001220740379042"/>
          </stop>
          <stop position="1">
            <color theme="5" tint="0.40000610370189521"/>
          </stop>
        </gradientFill>
      </fill>
    </dxf>
    <dxf>
      <fill>
        <gradientFill>
          <stop position="0">
            <color theme="5" tint="0.59999389629810485"/>
          </stop>
          <stop position="0.5">
            <color theme="7" tint="0.80001220740379042"/>
          </stop>
          <stop position="1">
            <color theme="5" tint="0.59999389629810485"/>
          </stop>
        </gradientFill>
      </fill>
    </dxf>
    <dxf>
      <fill>
        <gradientFill>
          <stop position="0">
            <color theme="7" tint="0.40000610370189521"/>
          </stop>
          <stop position="0.5">
            <color theme="7" tint="0.80001220740379042"/>
          </stop>
          <stop position="1">
            <color theme="7" tint="0.40000610370189521"/>
          </stop>
        </gradientFill>
      </fill>
    </dxf>
    <dxf>
      <fill>
        <patternFill patternType="solid">
          <fgColor auto="1"/>
          <bgColor theme="9" tint="0.59996337778862885"/>
        </patternFill>
      </fill>
    </dxf>
    <dxf>
      <fill>
        <gradientFill degree="180">
          <stop position="0">
            <color theme="0"/>
          </stop>
          <stop position="1">
            <color theme="5"/>
          </stop>
        </gradientFill>
      </fill>
    </dxf>
    <dxf>
      <fill>
        <gradientFill>
          <stop position="0">
            <color theme="0"/>
          </stop>
          <stop position="0.5">
            <color theme="7" tint="0.40000610370189521"/>
          </stop>
          <stop position="1">
            <color theme="0"/>
          </stop>
        </gradientFill>
      </fill>
    </dxf>
    <dxf>
      <fill>
        <gradientFill>
          <stop position="0">
            <color theme="0"/>
          </stop>
          <stop position="0.5">
            <color theme="9" tint="0.40000610370189521"/>
          </stop>
          <stop position="1">
            <color theme="0"/>
          </stop>
        </gradientFill>
      </fill>
    </dxf>
    <dxf>
      <fill>
        <gradientFill>
          <stop position="0">
            <color theme="0"/>
          </stop>
          <stop position="1">
            <color theme="9"/>
          </stop>
        </gradientFill>
      </fill>
    </dxf>
    <dxf>
      <fill>
        <gradientFill>
          <stop position="0">
            <color theme="9" tint="0.59999389629810485"/>
          </stop>
          <stop position="0.5">
            <color theme="9" tint="0.80001220740379042"/>
          </stop>
          <stop position="1">
            <color theme="9" tint="0.59999389629810485"/>
          </stop>
        </gradientFill>
      </fill>
    </dxf>
    <dxf>
      <fill>
        <gradientFill>
          <stop position="0">
            <color theme="7" tint="0.59999389629810485"/>
          </stop>
          <stop position="0.5">
            <color theme="7" tint="0.80001220740379042"/>
          </stop>
          <stop position="1">
            <color theme="7" tint="0.59999389629810485"/>
          </stop>
        </gradientFill>
      </fill>
    </dxf>
    <dxf>
      <fill>
        <gradientFill>
          <stop position="0">
            <color theme="5" tint="0.59999389629810485"/>
          </stop>
          <stop position="0.5">
            <color theme="5" tint="0.80001220740379042"/>
          </stop>
          <stop position="1">
            <color theme="5" tint="0.59999389629810485"/>
          </stop>
        </gradientFill>
      </fill>
    </dxf>
    <dxf>
      <fill>
        <gradientFill>
          <stop position="0">
            <color theme="9" tint="0.59999389629810485"/>
          </stop>
          <stop position="0.5">
            <color theme="9" tint="0.80001220740379042"/>
          </stop>
          <stop position="1">
            <color theme="9" tint="0.59999389629810485"/>
          </stop>
        </gradientFill>
      </fill>
    </dxf>
    <dxf>
      <fill>
        <gradientFill>
          <stop position="0">
            <color theme="7" tint="0.59999389629810485"/>
          </stop>
          <stop position="0.5">
            <color theme="7" tint="0.80001220740379042"/>
          </stop>
          <stop position="1">
            <color theme="7" tint="0.59999389629810485"/>
          </stop>
        </gradientFill>
      </fill>
    </dxf>
    <dxf>
      <fill>
        <gradientFill>
          <stop position="0">
            <color theme="5" tint="0.59999389629810485"/>
          </stop>
          <stop position="0.5">
            <color theme="5" tint="0.80001220740379042"/>
          </stop>
          <stop position="1">
            <color theme="5" tint="0.59999389629810485"/>
          </stop>
        </gradient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40058479532164"/>
          <c:y val="0.14121718123417495"/>
          <c:w val="0.69157046783625731"/>
          <c:h val="0.73291388280237324"/>
        </c:manualLayout>
      </c:layout>
      <c:radarChart>
        <c:radarStyle val="marker"/>
        <c:varyColors val="0"/>
        <c:ser>
          <c:idx val="0"/>
          <c:order val="0"/>
          <c:spPr>
            <a:ln w="28575" cap="rnd">
              <a:solidFill>
                <a:schemeClr val="accent1"/>
              </a:solidFill>
              <a:round/>
            </a:ln>
            <a:effectLst/>
          </c:spPr>
          <c:marker>
            <c:symbol val="none"/>
          </c:marker>
          <c:cat>
            <c:strRef>
              <c:f>(Results!$B$36,Results!$D$36,Results!$G$36,Results!$H$36,Results!$I$36)</c:f>
              <c:strCache>
                <c:ptCount val="5"/>
                <c:pt idx="0">
                  <c:v>Contribution</c:v>
                </c:pt>
                <c:pt idx="1">
                  <c:v>Benefits %</c:v>
                </c:pt>
                <c:pt idx="2">
                  <c:v>Capacity</c:v>
                </c:pt>
                <c:pt idx="3">
                  <c:v>Delivery %</c:v>
                </c:pt>
                <c:pt idx="4">
                  <c:v>ROI</c:v>
                </c:pt>
              </c:strCache>
            </c:strRef>
          </c:cat>
          <c:val>
            <c:numRef>
              <c:f>(Lookups!$C$13,Lookups!$E$13,Lookups!$G$13,Lookups!$H$13,Lookups!$I$13)</c:f>
              <c:numCache>
                <c:formatCode>0%</c:formatCode>
                <c:ptCount val="5"/>
                <c:pt idx="0">
                  <c:v>1</c:v>
                </c:pt>
                <c:pt idx="1">
                  <c:v>0.15379999999999994</c:v>
                </c:pt>
                <c:pt idx="2">
                  <c:v>0.16666666666666666</c:v>
                </c:pt>
                <c:pt idx="3">
                  <c:v>0.14999999999999991</c:v>
                </c:pt>
                <c:pt idx="4">
                  <c:v>0</c:v>
                </c:pt>
              </c:numCache>
            </c:numRef>
          </c:val>
          <c:extLst>
            <c:ext xmlns:c16="http://schemas.microsoft.com/office/drawing/2014/chart" uri="{C3380CC4-5D6E-409C-BE32-E72D297353CC}">
              <c16:uniqueId val="{00000000-14B2-4AB8-8CAF-D694E9F324ED}"/>
            </c:ext>
          </c:extLst>
        </c:ser>
        <c:dLbls>
          <c:showLegendKey val="0"/>
          <c:showVal val="0"/>
          <c:showCatName val="0"/>
          <c:showSerName val="0"/>
          <c:showPercent val="0"/>
          <c:showBubbleSize val="0"/>
        </c:dLbls>
        <c:axId val="746672704"/>
        <c:axId val="746677296"/>
      </c:radarChart>
      <c:catAx>
        <c:axId val="7466727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746677296"/>
        <c:crosses val="autoZero"/>
        <c:auto val="1"/>
        <c:lblAlgn val="ctr"/>
        <c:lblOffset val="100"/>
        <c:noMultiLvlLbl val="0"/>
      </c:catAx>
      <c:valAx>
        <c:axId val="746677296"/>
        <c:scaling>
          <c:orientation val="minMax"/>
          <c:max val="1"/>
          <c:min val="0"/>
        </c:scaling>
        <c:delete val="0"/>
        <c:axPos val="l"/>
        <c:majorGridlines>
          <c:spPr>
            <a:ln w="12700" cap="flat" cmpd="sng" algn="ctr">
              <a:solidFill>
                <a:schemeClr val="bg1">
                  <a:lumMod val="65000"/>
                </a:schemeClr>
              </a:solidFill>
              <a:round/>
            </a:ln>
            <a:effectLst/>
          </c:spPr>
        </c:majorGridlines>
        <c:numFmt formatCode="0%" sourceLinked="1"/>
        <c:majorTickMark val="none"/>
        <c:minorTickMark val="none"/>
        <c:tickLblPos val="nextTo"/>
        <c:spPr>
          <a:noFill/>
          <a:ln w="9525">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6672704"/>
        <c:crosses val="autoZero"/>
        <c:crossBetween val="between"/>
        <c:majorUnit val="0.5"/>
      </c:valAx>
      <c:spPr>
        <a:gradFill flip="none" rotWithShape="1">
          <a:gsLst>
            <a:gs pos="70000">
              <a:schemeClr val="accent6">
                <a:lumMod val="60000"/>
                <a:lumOff val="40000"/>
              </a:schemeClr>
            </a:gs>
            <a:gs pos="55000">
              <a:schemeClr val="accent6">
                <a:lumMod val="40000"/>
                <a:lumOff val="60000"/>
              </a:schemeClr>
            </a:gs>
            <a:gs pos="40000">
              <a:schemeClr val="accent4">
                <a:lumMod val="60000"/>
                <a:lumOff val="40000"/>
              </a:schemeClr>
            </a:gs>
            <a:gs pos="0">
              <a:schemeClr val="accent2">
                <a:lumMod val="60000"/>
                <a:lumOff val="40000"/>
              </a:schemeClr>
            </a:gs>
          </a:gsLst>
          <a:path path="circle">
            <a:fillToRect l="50000" t="50000" r="50000" b="50000"/>
          </a:path>
          <a:tileRect/>
        </a:gradFill>
        <a:ln w="9525">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466725</xdr:colOff>
      <xdr:row>15</xdr:row>
      <xdr:rowOff>57155</xdr:rowOff>
    </xdr:from>
    <xdr:to>
      <xdr:col>5</xdr:col>
      <xdr:colOff>695850</xdr:colOff>
      <xdr:row>33</xdr:row>
      <xdr:rowOff>26684</xdr:rowOff>
    </xdr:to>
    <xdr:graphicFrame macro="">
      <xdr:nvGraphicFramePr>
        <xdr:cNvPr id="3" name="Chart 2">
          <a:extLst>
            <a:ext uri="{FF2B5EF4-FFF2-40B4-BE49-F238E27FC236}">
              <a16:creationId xmlns:a16="http://schemas.microsoft.com/office/drawing/2014/main" id="{2DF99457-DEC9-4645-A6AF-78849F73C9B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10805-7918-4FDD-AB59-B878F4D83A64}">
  <sheetPr>
    <pageSetUpPr fitToPage="1"/>
  </sheetPr>
  <dimension ref="A1:D44"/>
  <sheetViews>
    <sheetView zoomScaleNormal="100" workbookViewId="0"/>
  </sheetViews>
  <sheetFormatPr defaultRowHeight="14.25" x14ac:dyDescent="0.2"/>
  <cols>
    <col min="1" max="1" width="41.7109375" style="11" customWidth="1"/>
    <col min="2" max="4" width="41.7109375" style="12" customWidth="1"/>
    <col min="5" max="16384" width="9.140625" style="12"/>
  </cols>
  <sheetData>
    <row r="1" spans="1:4" ht="18" x14ac:dyDescent="0.25">
      <c r="B1" s="14" t="s">
        <v>0</v>
      </c>
    </row>
    <row r="2" spans="1:4" ht="15" customHeight="1" x14ac:dyDescent="0.2"/>
    <row r="3" spans="1:4" ht="15" customHeight="1" x14ac:dyDescent="0.2"/>
    <row r="4" spans="1:4" ht="15" customHeight="1" x14ac:dyDescent="0.2">
      <c r="A4" s="10" t="s">
        <v>1</v>
      </c>
      <c r="B4" s="9"/>
      <c r="C4" s="9"/>
      <c r="D4" s="9"/>
    </row>
    <row r="5" spans="1:4" ht="15" customHeight="1" x14ac:dyDescent="0.2">
      <c r="A5" s="15" t="s">
        <v>2</v>
      </c>
      <c r="B5" s="16"/>
      <c r="C5" s="16"/>
      <c r="D5" s="16"/>
    </row>
    <row r="6" spans="1:4" ht="15" customHeight="1" x14ac:dyDescent="0.2">
      <c r="A6" s="15" t="s">
        <v>363</v>
      </c>
      <c r="B6" s="16"/>
      <c r="C6" s="16"/>
      <c r="D6" s="16"/>
    </row>
    <row r="7" spans="1:4" ht="15" customHeight="1" x14ac:dyDescent="0.2">
      <c r="A7" s="15" t="s">
        <v>353</v>
      </c>
      <c r="B7" s="16"/>
      <c r="C7" s="16"/>
      <c r="D7" s="16"/>
    </row>
    <row r="8" spans="1:4" ht="15" customHeight="1" x14ac:dyDescent="0.2">
      <c r="A8" s="15"/>
      <c r="B8" s="16"/>
      <c r="C8" s="16"/>
      <c r="D8" s="16"/>
    </row>
    <row r="9" spans="1:4" ht="15" customHeight="1" x14ac:dyDescent="0.2">
      <c r="A9" s="16" t="s">
        <v>354</v>
      </c>
      <c r="B9" s="16"/>
      <c r="C9" s="16"/>
      <c r="D9" s="16"/>
    </row>
    <row r="10" spans="1:4" ht="15" customHeight="1" x14ac:dyDescent="0.2">
      <c r="A10" s="16" t="s">
        <v>355</v>
      </c>
      <c r="B10" s="16"/>
      <c r="C10" s="16"/>
      <c r="D10" s="16"/>
    </row>
    <row r="11" spans="1:4" ht="15" customHeight="1" x14ac:dyDescent="0.2">
      <c r="A11" s="13"/>
    </row>
    <row r="12" spans="1:4" ht="15" customHeight="1" x14ac:dyDescent="0.2">
      <c r="A12" s="10" t="s">
        <v>3</v>
      </c>
      <c r="B12" s="9"/>
      <c r="C12" s="9"/>
      <c r="D12" s="9"/>
    </row>
    <row r="13" spans="1:4" ht="15" customHeight="1" x14ac:dyDescent="0.2">
      <c r="A13" s="15" t="s">
        <v>4</v>
      </c>
      <c r="B13" s="16"/>
      <c r="C13" s="16"/>
      <c r="D13" s="16"/>
    </row>
    <row r="14" spans="1:4" ht="15" customHeight="1" x14ac:dyDescent="0.2">
      <c r="A14" s="21" t="s">
        <v>5</v>
      </c>
      <c r="B14" s="16"/>
      <c r="C14" s="16"/>
      <c r="D14" s="16"/>
    </row>
    <row r="15" spans="1:4" ht="15" customHeight="1" x14ac:dyDescent="0.2">
      <c r="A15" s="21" t="s">
        <v>359</v>
      </c>
      <c r="B15" s="16"/>
      <c r="C15" s="16"/>
      <c r="D15" s="16"/>
    </row>
    <row r="16" spans="1:4" ht="15" customHeight="1" x14ac:dyDescent="0.2">
      <c r="A16" s="21" t="s">
        <v>6</v>
      </c>
      <c r="B16" s="16"/>
      <c r="C16" s="16"/>
      <c r="D16" s="16"/>
    </row>
    <row r="17" spans="1:4" ht="15" customHeight="1" x14ac:dyDescent="0.2">
      <c r="A17" s="21" t="s">
        <v>7</v>
      </c>
      <c r="B17" s="16"/>
      <c r="C17" s="16"/>
      <c r="D17" s="16"/>
    </row>
    <row r="18" spans="1:4" ht="15" customHeight="1" x14ac:dyDescent="0.2">
      <c r="A18" s="21" t="s">
        <v>8</v>
      </c>
      <c r="B18" s="16"/>
      <c r="C18" s="16"/>
      <c r="D18" s="16"/>
    </row>
    <row r="19" spans="1:4" ht="15" customHeight="1" x14ac:dyDescent="0.2">
      <c r="A19" s="21" t="s">
        <v>9</v>
      </c>
      <c r="B19" s="16"/>
      <c r="C19" s="16"/>
      <c r="D19" s="16"/>
    </row>
    <row r="20" spans="1:4" ht="15" customHeight="1" x14ac:dyDescent="0.2">
      <c r="A20" s="15" t="s">
        <v>10</v>
      </c>
      <c r="B20" s="16"/>
      <c r="C20" s="16"/>
      <c r="D20" s="16"/>
    </row>
    <row r="21" spans="1:4" ht="15" customHeight="1" x14ac:dyDescent="0.2">
      <c r="A21" s="16"/>
      <c r="B21" s="16"/>
      <c r="C21" s="16"/>
      <c r="D21" s="16"/>
    </row>
    <row r="22" spans="1:4" ht="15" customHeight="1" x14ac:dyDescent="0.2">
      <c r="A22" s="15" t="s">
        <v>364</v>
      </c>
      <c r="B22" s="16"/>
      <c r="C22" s="16"/>
      <c r="D22" s="16"/>
    </row>
    <row r="23" spans="1:4" ht="15" customHeight="1" x14ac:dyDescent="0.2">
      <c r="A23" s="13"/>
    </row>
    <row r="24" spans="1:4" ht="15" customHeight="1" x14ac:dyDescent="0.2">
      <c r="A24" s="10" t="s">
        <v>11</v>
      </c>
      <c r="B24" s="9"/>
      <c r="C24" s="9"/>
      <c r="D24" s="9"/>
    </row>
    <row r="25" spans="1:4" ht="15" customHeight="1" x14ac:dyDescent="0.2">
      <c r="A25" s="16" t="s">
        <v>375</v>
      </c>
      <c r="B25" s="16"/>
      <c r="C25" s="16"/>
      <c r="D25" s="16"/>
    </row>
    <row r="26" spans="1:4" ht="15" customHeight="1" x14ac:dyDescent="0.2">
      <c r="A26" s="16" t="s">
        <v>12</v>
      </c>
      <c r="B26" s="16"/>
      <c r="C26" s="16"/>
      <c r="D26" s="16"/>
    </row>
    <row r="27" spans="1:4" ht="15" customHeight="1" x14ac:dyDescent="0.2">
      <c r="A27" s="16" t="s">
        <v>13</v>
      </c>
      <c r="B27" s="16"/>
      <c r="C27" s="16"/>
      <c r="D27" s="16"/>
    </row>
    <row r="28" spans="1:4" ht="15" customHeight="1" x14ac:dyDescent="0.2">
      <c r="A28" s="16"/>
      <c r="B28" s="16"/>
      <c r="C28" s="16"/>
      <c r="D28" s="16"/>
    </row>
    <row r="29" spans="1:4" ht="15" customHeight="1" x14ac:dyDescent="0.2">
      <c r="A29" s="16" t="s">
        <v>365</v>
      </c>
      <c r="B29" s="16"/>
      <c r="C29" s="16"/>
      <c r="D29" s="16"/>
    </row>
    <row r="30" spans="1:4" ht="15" customHeight="1" x14ac:dyDescent="0.2">
      <c r="A30" s="13"/>
    </row>
    <row r="31" spans="1:4" ht="15" customHeight="1" x14ac:dyDescent="0.2">
      <c r="A31" s="10" t="s">
        <v>14</v>
      </c>
      <c r="B31" s="9"/>
      <c r="C31" s="9"/>
      <c r="D31" s="9"/>
    </row>
    <row r="32" spans="1:4" ht="15" customHeight="1" x14ac:dyDescent="0.2">
      <c r="A32" s="16" t="s">
        <v>15</v>
      </c>
      <c r="B32" s="16"/>
      <c r="C32" s="16"/>
      <c r="D32" s="16"/>
    </row>
    <row r="33" spans="1:4" ht="15" customHeight="1" x14ac:dyDescent="0.2">
      <c r="A33" s="16" t="s">
        <v>16</v>
      </c>
      <c r="B33" s="16"/>
      <c r="C33" s="16"/>
      <c r="D33" s="16"/>
    </row>
    <row r="34" spans="1:4" ht="15" customHeight="1" x14ac:dyDescent="0.2">
      <c r="A34" s="16" t="s">
        <v>17</v>
      </c>
      <c r="B34" s="16"/>
      <c r="C34" s="16"/>
      <c r="D34" s="16"/>
    </row>
    <row r="35" spans="1:4" ht="15" customHeight="1" x14ac:dyDescent="0.2">
      <c r="A35" s="16" t="s">
        <v>18</v>
      </c>
      <c r="B35" s="16"/>
      <c r="C35" s="16"/>
      <c r="D35" s="16"/>
    </row>
    <row r="36" spans="1:4" ht="15" customHeight="1" x14ac:dyDescent="0.2"/>
    <row r="37" spans="1:4" ht="15" customHeight="1" x14ac:dyDescent="0.2">
      <c r="A37" s="8" t="s">
        <v>352</v>
      </c>
      <c r="B37" s="9"/>
      <c r="C37" s="9"/>
      <c r="D37" s="9"/>
    </row>
    <row r="38" spans="1:4" ht="15" customHeight="1" x14ac:dyDescent="0.2">
      <c r="A38" s="16" t="s">
        <v>356</v>
      </c>
      <c r="B38" s="16"/>
      <c r="C38" s="16"/>
      <c r="D38" s="16"/>
    </row>
    <row r="39" spans="1:4" ht="15" customHeight="1" x14ac:dyDescent="0.2">
      <c r="A39" s="16" t="s">
        <v>357</v>
      </c>
      <c r="B39" s="16"/>
      <c r="C39" s="16"/>
      <c r="D39" s="16"/>
    </row>
    <row r="40" spans="1:4" ht="15" customHeight="1" x14ac:dyDescent="0.2">
      <c r="A40" s="22" t="s">
        <v>367</v>
      </c>
      <c r="B40" s="16"/>
      <c r="C40" s="16"/>
      <c r="D40" s="16"/>
    </row>
    <row r="41" spans="1:4" ht="15" customHeight="1" x14ac:dyDescent="0.2">
      <c r="A41" s="16" t="s">
        <v>358</v>
      </c>
      <c r="B41" s="16"/>
      <c r="C41" s="16"/>
      <c r="D41" s="16"/>
    </row>
    <row r="42" spans="1:4" ht="15" customHeight="1" x14ac:dyDescent="0.2">
      <c r="A42" s="22" t="s">
        <v>368</v>
      </c>
      <c r="B42" s="16"/>
      <c r="C42" s="16"/>
      <c r="D42" s="16"/>
    </row>
    <row r="43" spans="1:4" x14ac:dyDescent="0.2">
      <c r="A43" s="16" t="s">
        <v>366</v>
      </c>
      <c r="B43" s="16"/>
      <c r="C43" s="16"/>
      <c r="D43" s="16"/>
    </row>
    <row r="44" spans="1:4" x14ac:dyDescent="0.2">
      <c r="A44" s="22" t="s">
        <v>369</v>
      </c>
      <c r="B44" s="16"/>
      <c r="C44" s="16"/>
      <c r="D44" s="16"/>
    </row>
  </sheetData>
  <pageMargins left="0.70866141732283472" right="0.70866141732283472" top="0.74803149606299213" bottom="0.74803149606299213" header="0.31496062992125984" footer="0.31496062992125984"/>
  <pageSetup paperSize="9" scale="79"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E3987-0C55-46BD-81FA-97AED04D958E}">
  <sheetPr>
    <tabColor theme="8" tint="0.79998168889431442"/>
  </sheetPr>
  <dimension ref="A1:O31"/>
  <sheetViews>
    <sheetView tabSelected="1" zoomScale="80" zoomScaleNormal="80" workbookViewId="0"/>
  </sheetViews>
  <sheetFormatPr defaultRowHeight="14.25" outlineLevelCol="1" x14ac:dyDescent="0.2"/>
  <cols>
    <col min="1" max="1" width="65.7109375" style="27" customWidth="1"/>
    <col min="2" max="5" width="20.7109375" style="57" customWidth="1"/>
    <col min="6" max="6" width="17.7109375" style="27" customWidth="1"/>
    <col min="7" max="7" width="50.7109375" style="27" customWidth="1"/>
    <col min="8" max="12" width="9.140625" style="27" hidden="1" customWidth="1" outlineLevel="1"/>
    <col min="13" max="13" width="9.140625" style="18" hidden="1" customWidth="1" outlineLevel="1"/>
    <col min="14" max="14" width="9.140625" style="27" hidden="1" customWidth="1" outlineLevel="1"/>
    <col min="15" max="15" width="9.140625" style="27" collapsed="1"/>
    <col min="16" max="16384" width="9.140625" style="27"/>
  </cols>
  <sheetData>
    <row r="1" spans="1:14" ht="20.25" x14ac:dyDescent="0.3">
      <c r="A1" s="23"/>
      <c r="B1" s="163"/>
      <c r="C1" s="24" t="s">
        <v>19</v>
      </c>
      <c r="D1" s="163"/>
      <c r="E1" s="163"/>
      <c r="F1" s="23"/>
      <c r="G1" s="24" t="s">
        <v>20</v>
      </c>
    </row>
    <row r="2" spans="1:14" x14ac:dyDescent="0.2">
      <c r="A2" s="25"/>
      <c r="B2" s="29"/>
      <c r="C2" s="29" t="s">
        <v>575</v>
      </c>
      <c r="D2" s="29"/>
      <c r="E2" s="29"/>
      <c r="F2" s="25"/>
      <c r="G2" s="25"/>
    </row>
    <row r="3" spans="1:14" x14ac:dyDescent="0.2">
      <c r="A3" s="25"/>
      <c r="B3" s="29"/>
      <c r="C3" s="29"/>
      <c r="D3" s="29"/>
      <c r="E3" s="29"/>
      <c r="F3" s="25"/>
      <c r="G3" s="25"/>
    </row>
    <row r="4" spans="1:14" x14ac:dyDescent="0.2">
      <c r="A4" s="25"/>
      <c r="B4" s="29"/>
      <c r="C4" s="29" t="s">
        <v>21</v>
      </c>
      <c r="D4" s="29"/>
      <c r="E4" s="29"/>
      <c r="F4" s="25"/>
      <c r="G4" s="25"/>
    </row>
    <row r="5" spans="1:14" x14ac:dyDescent="0.2">
      <c r="A5" s="25"/>
      <c r="B5" s="29"/>
      <c r="C5" s="29" t="s">
        <v>22</v>
      </c>
      <c r="D5" s="29"/>
      <c r="E5" s="29"/>
      <c r="F5" s="25"/>
      <c r="G5" s="25"/>
    </row>
    <row r="7" spans="1:14" ht="20.100000000000001" customHeight="1" x14ac:dyDescent="0.2">
      <c r="A7" s="64" t="s">
        <v>23</v>
      </c>
      <c r="B7" s="64" t="s">
        <v>24</v>
      </c>
      <c r="C7" s="64" t="s">
        <v>25</v>
      </c>
      <c r="D7" s="64" t="s">
        <v>26</v>
      </c>
      <c r="E7" s="64" t="s">
        <v>27</v>
      </c>
      <c r="F7" s="64" t="s">
        <v>28</v>
      </c>
      <c r="G7" s="64" t="s">
        <v>29</v>
      </c>
      <c r="H7" s="32" t="s">
        <v>30</v>
      </c>
      <c r="I7" s="33" t="s">
        <v>24</v>
      </c>
      <c r="J7" s="32" t="s">
        <v>25</v>
      </c>
      <c r="K7" s="32" t="s">
        <v>26</v>
      </c>
      <c r="L7" s="32" t="s">
        <v>27</v>
      </c>
      <c r="M7" s="32" t="s">
        <v>31</v>
      </c>
      <c r="N7" s="65" t="s">
        <v>32</v>
      </c>
    </row>
    <row r="8" spans="1:14" ht="20.100000000000001" customHeight="1" x14ac:dyDescent="0.2">
      <c r="A8" s="35" t="s">
        <v>33</v>
      </c>
      <c r="B8" s="36" t="s">
        <v>34</v>
      </c>
      <c r="C8" s="37" t="s">
        <v>572</v>
      </c>
      <c r="D8" s="37" t="s">
        <v>35</v>
      </c>
      <c r="E8" s="38" t="s">
        <v>36</v>
      </c>
      <c r="F8" s="39"/>
      <c r="G8" s="53"/>
      <c r="H8" s="33">
        <f t="shared" ref="H8:H13" si="0">_xlfn.IFS(F8="A",I8,F8="B",J8,F8="C",K8,TRUE,L8)</f>
        <v>9</v>
      </c>
      <c r="I8" s="41">
        <v>0</v>
      </c>
      <c r="J8" s="41">
        <v>3</v>
      </c>
      <c r="K8" s="41">
        <v>6</v>
      </c>
      <c r="L8" s="41">
        <v>9</v>
      </c>
      <c r="M8" s="42">
        <f t="shared" ref="M8:M13" si="1">L8/SUM(L$8:L$13)</f>
        <v>0.23076923076923078</v>
      </c>
      <c r="N8" s="42">
        <f t="shared" ref="N8:N13" si="2">L8/SUM(L$8:L$30)</f>
        <v>9.8901098901098897E-2</v>
      </c>
    </row>
    <row r="9" spans="1:14" ht="20.100000000000001" customHeight="1" x14ac:dyDescent="0.2">
      <c r="A9" s="35" t="s">
        <v>37</v>
      </c>
      <c r="B9" s="36" t="s">
        <v>38</v>
      </c>
      <c r="C9" s="37" t="s">
        <v>39</v>
      </c>
      <c r="D9" s="37" t="s">
        <v>40</v>
      </c>
      <c r="E9" s="38" t="s">
        <v>41</v>
      </c>
      <c r="F9" s="45"/>
      <c r="G9" s="40"/>
      <c r="H9" s="33">
        <f t="shared" si="0"/>
        <v>6</v>
      </c>
      <c r="I9" s="41">
        <v>0</v>
      </c>
      <c r="J9" s="41">
        <v>2</v>
      </c>
      <c r="K9" s="41">
        <v>4</v>
      </c>
      <c r="L9" s="41">
        <v>6</v>
      </c>
      <c r="M9" s="42">
        <f t="shared" si="1"/>
        <v>0.15384615384615385</v>
      </c>
      <c r="N9" s="42">
        <f t="shared" si="2"/>
        <v>6.5934065934065936E-2</v>
      </c>
    </row>
    <row r="10" spans="1:14" ht="20.100000000000001" customHeight="1" x14ac:dyDescent="0.2">
      <c r="A10" s="35" t="s">
        <v>42</v>
      </c>
      <c r="B10" s="36" t="s">
        <v>38</v>
      </c>
      <c r="C10" s="37" t="s">
        <v>39</v>
      </c>
      <c r="D10" s="37" t="s">
        <v>40</v>
      </c>
      <c r="E10" s="38" t="s">
        <v>41</v>
      </c>
      <c r="F10" s="45"/>
      <c r="G10" s="40"/>
      <c r="H10" s="33">
        <f t="shared" si="0"/>
        <v>3</v>
      </c>
      <c r="I10" s="41">
        <v>0</v>
      </c>
      <c r="J10" s="41">
        <v>1</v>
      </c>
      <c r="K10" s="41">
        <v>2</v>
      </c>
      <c r="L10" s="41">
        <v>3</v>
      </c>
      <c r="M10" s="42">
        <f t="shared" si="1"/>
        <v>7.6923076923076927E-2</v>
      </c>
      <c r="N10" s="42">
        <f t="shared" si="2"/>
        <v>3.2967032967032968E-2</v>
      </c>
    </row>
    <row r="11" spans="1:14" ht="20.100000000000001" customHeight="1" x14ac:dyDescent="0.2">
      <c r="A11" s="35" t="s">
        <v>43</v>
      </c>
      <c r="B11" s="36" t="s">
        <v>38</v>
      </c>
      <c r="C11" s="37" t="s">
        <v>44</v>
      </c>
      <c r="D11" s="37" t="s">
        <v>45</v>
      </c>
      <c r="E11" s="38" t="s">
        <v>46</v>
      </c>
      <c r="F11" s="45"/>
      <c r="G11" s="40"/>
      <c r="H11" s="33">
        <f t="shared" si="0"/>
        <v>9</v>
      </c>
      <c r="I11" s="41">
        <v>0</v>
      </c>
      <c r="J11" s="41">
        <v>3</v>
      </c>
      <c r="K11" s="41">
        <v>6</v>
      </c>
      <c r="L11" s="41">
        <v>9</v>
      </c>
      <c r="M11" s="42">
        <f t="shared" si="1"/>
        <v>0.23076923076923078</v>
      </c>
      <c r="N11" s="42">
        <f t="shared" si="2"/>
        <v>9.8901098901098897E-2</v>
      </c>
    </row>
    <row r="12" spans="1:14" ht="20.100000000000001" customHeight="1" x14ac:dyDescent="0.2">
      <c r="A12" s="35" t="s">
        <v>47</v>
      </c>
      <c r="B12" s="36" t="s">
        <v>48</v>
      </c>
      <c r="C12" s="37" t="s">
        <v>49</v>
      </c>
      <c r="D12" s="37" t="s">
        <v>50</v>
      </c>
      <c r="E12" s="37" t="s">
        <v>51</v>
      </c>
      <c r="F12" s="45"/>
      <c r="G12" s="40"/>
      <c r="H12" s="33">
        <f t="shared" si="0"/>
        <v>4</v>
      </c>
      <c r="I12" s="41">
        <v>1</v>
      </c>
      <c r="J12" s="41">
        <v>2</v>
      </c>
      <c r="K12" s="41">
        <v>3</v>
      </c>
      <c r="L12" s="41">
        <v>4</v>
      </c>
      <c r="M12" s="42">
        <f t="shared" si="1"/>
        <v>0.10256410256410256</v>
      </c>
      <c r="N12" s="42">
        <f t="shared" si="2"/>
        <v>4.3956043956043959E-2</v>
      </c>
    </row>
    <row r="13" spans="1:14" ht="20.100000000000001" customHeight="1" x14ac:dyDescent="0.2">
      <c r="A13" s="47" t="s">
        <v>577</v>
      </c>
      <c r="B13" s="164" t="s">
        <v>576</v>
      </c>
      <c r="C13" s="164" t="s">
        <v>578</v>
      </c>
      <c r="D13" s="164" t="s">
        <v>579</v>
      </c>
      <c r="E13" s="164" t="s">
        <v>580</v>
      </c>
      <c r="F13" s="46"/>
      <c r="G13" s="40"/>
      <c r="H13" s="33">
        <f t="shared" si="0"/>
        <v>8</v>
      </c>
      <c r="I13" s="41">
        <v>0</v>
      </c>
      <c r="J13" s="41">
        <v>2</v>
      </c>
      <c r="K13" s="41">
        <v>5</v>
      </c>
      <c r="L13" s="41">
        <v>8</v>
      </c>
      <c r="M13" s="42">
        <f t="shared" si="1"/>
        <v>0.20512820512820512</v>
      </c>
      <c r="N13" s="42">
        <f t="shared" si="2"/>
        <v>8.7912087912087919E-2</v>
      </c>
    </row>
    <row r="14" spans="1:14" ht="20.100000000000001" customHeight="1" x14ac:dyDescent="0.2">
      <c r="H14" s="66">
        <f>SUM(H8:H13)/SUM(L8:L13)</f>
        <v>1</v>
      </c>
      <c r="N14" s="42"/>
    </row>
    <row r="15" spans="1:14" ht="20.100000000000001" customHeight="1" x14ac:dyDescent="0.2">
      <c r="H15" s="67"/>
      <c r="N15" s="42"/>
    </row>
    <row r="16" spans="1:14" ht="20.100000000000001" customHeight="1" x14ac:dyDescent="0.2">
      <c r="A16" s="64" t="s">
        <v>52</v>
      </c>
      <c r="B16" s="64" t="s">
        <v>24</v>
      </c>
      <c r="C16" s="64" t="s">
        <v>25</v>
      </c>
      <c r="D16" s="64" t="s">
        <v>26</v>
      </c>
      <c r="E16" s="64" t="s">
        <v>27</v>
      </c>
      <c r="F16" s="64" t="s">
        <v>28</v>
      </c>
      <c r="G16" s="64" t="s">
        <v>29</v>
      </c>
      <c r="H16" s="67"/>
      <c r="I16" s="67"/>
      <c r="J16" s="67"/>
      <c r="K16" s="67"/>
      <c r="L16" s="67"/>
      <c r="M16" s="65"/>
      <c r="N16" s="68"/>
    </row>
    <row r="17" spans="1:14" ht="20.100000000000001" customHeight="1" x14ac:dyDescent="0.2">
      <c r="A17" s="35" t="s">
        <v>53</v>
      </c>
      <c r="B17" s="36" t="s">
        <v>54</v>
      </c>
      <c r="C17" s="69" t="s">
        <v>39</v>
      </c>
      <c r="D17" s="69" t="s">
        <v>40</v>
      </c>
      <c r="E17" s="70" t="s">
        <v>55</v>
      </c>
      <c r="F17" s="157"/>
      <c r="G17" s="40"/>
      <c r="H17" s="33">
        <f t="shared" ref="H17:H22" si="3">_xlfn.IFS(F17="A",I17,F17="B",J17,F17="C",K17,TRUE,L17)</f>
        <v>4</v>
      </c>
      <c r="I17" s="41">
        <v>1</v>
      </c>
      <c r="J17" s="41">
        <v>2</v>
      </c>
      <c r="K17" s="41">
        <v>3</v>
      </c>
      <c r="L17" s="41">
        <v>4</v>
      </c>
      <c r="M17" s="42">
        <f t="shared" ref="M17:M22" si="4">L17/SUM(L$17:L$22)</f>
        <v>0.15384615384615385</v>
      </c>
      <c r="N17" s="42">
        <f t="shared" ref="N17:N22" si="5">L17/SUM(L$8:L$30)</f>
        <v>4.3956043956043959E-2</v>
      </c>
    </row>
    <row r="18" spans="1:14" ht="20.100000000000001" customHeight="1" x14ac:dyDescent="0.2">
      <c r="A18" s="35" t="s">
        <v>56</v>
      </c>
      <c r="B18" s="36" t="s">
        <v>57</v>
      </c>
      <c r="C18" s="37" t="s">
        <v>58</v>
      </c>
      <c r="D18" s="37" t="s">
        <v>59</v>
      </c>
      <c r="E18" s="38" t="s">
        <v>60</v>
      </c>
      <c r="F18" s="158"/>
      <c r="G18" s="40"/>
      <c r="H18" s="33">
        <f t="shared" si="3"/>
        <v>4</v>
      </c>
      <c r="I18" s="41">
        <v>0</v>
      </c>
      <c r="J18" s="41">
        <v>1</v>
      </c>
      <c r="K18" s="41">
        <v>3</v>
      </c>
      <c r="L18" s="41">
        <v>4</v>
      </c>
      <c r="M18" s="42">
        <f t="shared" si="4"/>
        <v>0.15384615384615385</v>
      </c>
      <c r="N18" s="42">
        <f t="shared" si="5"/>
        <v>4.3956043956043959E-2</v>
      </c>
    </row>
    <row r="19" spans="1:14" ht="20.100000000000001" customHeight="1" x14ac:dyDescent="0.2">
      <c r="A19" s="35" t="s">
        <v>61</v>
      </c>
      <c r="B19" s="36" t="s">
        <v>62</v>
      </c>
      <c r="C19" s="44" t="s">
        <v>63</v>
      </c>
      <c r="D19" s="44" t="s">
        <v>64</v>
      </c>
      <c r="E19" s="38" t="s">
        <v>65</v>
      </c>
      <c r="F19" s="158"/>
      <c r="G19" s="40"/>
      <c r="H19" s="33">
        <f t="shared" si="3"/>
        <v>4</v>
      </c>
      <c r="I19" s="41">
        <v>0</v>
      </c>
      <c r="J19" s="41">
        <v>1</v>
      </c>
      <c r="K19" s="41">
        <v>2</v>
      </c>
      <c r="L19" s="41">
        <v>4</v>
      </c>
      <c r="M19" s="42">
        <f t="shared" si="4"/>
        <v>0.15384615384615385</v>
      </c>
      <c r="N19" s="42">
        <f t="shared" si="5"/>
        <v>4.3956043956043959E-2</v>
      </c>
    </row>
    <row r="20" spans="1:14" ht="20.100000000000001" customHeight="1" x14ac:dyDescent="0.2">
      <c r="A20" s="35" t="s">
        <v>66</v>
      </c>
      <c r="B20" s="36" t="s">
        <v>67</v>
      </c>
      <c r="C20" s="37" t="s">
        <v>68</v>
      </c>
      <c r="D20" s="37" t="s">
        <v>69</v>
      </c>
      <c r="E20" s="38" t="s">
        <v>70</v>
      </c>
      <c r="F20" s="158"/>
      <c r="G20" s="40"/>
      <c r="H20" s="33">
        <f t="shared" si="3"/>
        <v>4</v>
      </c>
      <c r="I20" s="41">
        <v>1</v>
      </c>
      <c r="J20" s="41">
        <v>2</v>
      </c>
      <c r="K20" s="41">
        <v>3</v>
      </c>
      <c r="L20" s="41">
        <v>4</v>
      </c>
      <c r="M20" s="42">
        <f t="shared" si="4"/>
        <v>0.15384615384615385</v>
      </c>
      <c r="N20" s="42">
        <f t="shared" si="5"/>
        <v>4.3956043956043959E-2</v>
      </c>
    </row>
    <row r="21" spans="1:14" ht="20.100000000000001" customHeight="1" x14ac:dyDescent="0.2">
      <c r="A21" s="35" t="s">
        <v>71</v>
      </c>
      <c r="B21" s="36" t="s">
        <v>72</v>
      </c>
      <c r="C21" s="37" t="s">
        <v>73</v>
      </c>
      <c r="D21" s="37" t="s">
        <v>74</v>
      </c>
      <c r="E21" s="38" t="s">
        <v>75</v>
      </c>
      <c r="F21" s="158"/>
      <c r="G21" s="40"/>
      <c r="H21" s="33">
        <f t="shared" si="3"/>
        <v>4</v>
      </c>
      <c r="I21" s="41">
        <v>1</v>
      </c>
      <c r="J21" s="41">
        <v>2</v>
      </c>
      <c r="K21" s="41">
        <v>3</v>
      </c>
      <c r="L21" s="41">
        <v>4</v>
      </c>
      <c r="M21" s="42">
        <f t="shared" si="4"/>
        <v>0.15384615384615385</v>
      </c>
      <c r="N21" s="42">
        <f t="shared" si="5"/>
        <v>4.3956043956043959E-2</v>
      </c>
    </row>
    <row r="22" spans="1:14" ht="20.100000000000001" customHeight="1" x14ac:dyDescent="0.2">
      <c r="A22" s="35" t="s">
        <v>76</v>
      </c>
      <c r="B22" s="36" t="s">
        <v>77</v>
      </c>
      <c r="C22" s="37" t="s">
        <v>78</v>
      </c>
      <c r="D22" s="37" t="s">
        <v>79</v>
      </c>
      <c r="E22" s="37" t="s">
        <v>80</v>
      </c>
      <c r="F22" s="159"/>
      <c r="G22" s="40"/>
      <c r="H22" s="33">
        <f t="shared" si="3"/>
        <v>6</v>
      </c>
      <c r="I22" s="41">
        <v>1</v>
      </c>
      <c r="J22" s="41">
        <v>2</v>
      </c>
      <c r="K22" s="41">
        <v>4</v>
      </c>
      <c r="L22" s="41">
        <v>6</v>
      </c>
      <c r="M22" s="42">
        <f t="shared" si="4"/>
        <v>0.23076923076923078</v>
      </c>
      <c r="N22" s="42">
        <f t="shared" si="5"/>
        <v>6.5934065934065936E-2</v>
      </c>
    </row>
    <row r="23" spans="1:14" ht="20.100000000000001" customHeight="1" x14ac:dyDescent="0.2">
      <c r="E23" s="17" t="s">
        <v>81</v>
      </c>
      <c r="F23" s="71" t="str">
        <f>IF(COUNTA(F17:F22)&lt;6,"",VLOOKUP(Lookups!D22,Lookups!D25:E30,2,TRUE))</f>
        <v/>
      </c>
      <c r="H23" s="66">
        <f>SUM(H17:H22)/SUM(L17:L22)</f>
        <v>1</v>
      </c>
      <c r="N23" s="42"/>
    </row>
    <row r="24" spans="1:14" ht="20.100000000000001" customHeight="1" x14ac:dyDescent="0.2">
      <c r="H24" s="67"/>
      <c r="N24" s="42"/>
    </row>
    <row r="25" spans="1:14" s="18" customFormat="1" ht="20.100000000000001" customHeight="1" x14ac:dyDescent="0.2">
      <c r="A25" s="64" t="s">
        <v>82</v>
      </c>
      <c r="B25" s="64" t="s">
        <v>24</v>
      </c>
      <c r="C25" s="64" t="s">
        <v>25</v>
      </c>
      <c r="D25" s="64" t="s">
        <v>26</v>
      </c>
      <c r="E25" s="64" t="s">
        <v>27</v>
      </c>
      <c r="F25" s="64" t="s">
        <v>28</v>
      </c>
      <c r="G25" s="64" t="s">
        <v>83</v>
      </c>
      <c r="H25" s="67"/>
      <c r="I25" s="67"/>
      <c r="J25" s="67"/>
      <c r="K25" s="67"/>
      <c r="L25" s="67"/>
      <c r="M25" s="65"/>
      <c r="N25" s="68"/>
    </row>
    <row r="26" spans="1:14" s="18" customFormat="1" ht="20.100000000000001" customHeight="1" x14ac:dyDescent="0.25">
      <c r="A26" s="35" t="s">
        <v>84</v>
      </c>
      <c r="B26" s="36" t="s">
        <v>85</v>
      </c>
      <c r="C26" s="37" t="s">
        <v>86</v>
      </c>
      <c r="D26" s="37" t="s">
        <v>87</v>
      </c>
      <c r="E26" s="70" t="s">
        <v>88</v>
      </c>
      <c r="F26" s="160"/>
      <c r="G26" s="53"/>
      <c r="H26" s="33">
        <f>_xlfn.IFS(F26="A",I26,F26="B",J26,F26="C",K26,TRUE,L26)</f>
        <v>4</v>
      </c>
      <c r="I26" s="41">
        <v>1</v>
      </c>
      <c r="J26" s="41">
        <v>2</v>
      </c>
      <c r="K26" s="41">
        <v>3</v>
      </c>
      <c r="L26" s="41">
        <v>4</v>
      </c>
      <c r="M26" s="42">
        <f>L26/SUM(L$26:L$30)</f>
        <v>0.15384615384615385</v>
      </c>
      <c r="N26" s="42">
        <f>L26/SUM(L$8:L$30)</f>
        <v>4.3956043956043959E-2</v>
      </c>
    </row>
    <row r="27" spans="1:14" s="18" customFormat="1" ht="20.100000000000001" customHeight="1" x14ac:dyDescent="0.25">
      <c r="A27" s="35" t="s">
        <v>89</v>
      </c>
      <c r="B27" s="36" t="s">
        <v>90</v>
      </c>
      <c r="C27" s="37" t="s">
        <v>91</v>
      </c>
      <c r="D27" s="37" t="s">
        <v>92</v>
      </c>
      <c r="E27" s="52" t="s">
        <v>93</v>
      </c>
      <c r="F27" s="161"/>
      <c r="G27" s="53"/>
      <c r="H27" s="33">
        <f>_xlfn.IFS(F27="A",I27,F27="B",J27,F27="C",K27,TRUE,L27)</f>
        <v>6</v>
      </c>
      <c r="I27" s="41">
        <v>1</v>
      </c>
      <c r="J27" s="41">
        <v>2</v>
      </c>
      <c r="K27" s="41">
        <v>4</v>
      </c>
      <c r="L27" s="41">
        <v>6</v>
      </c>
      <c r="M27" s="42">
        <f>L27/SUM(L$26:L$30)</f>
        <v>0.23076923076923078</v>
      </c>
      <c r="N27" s="42">
        <f>L27/SUM(L$8:L$30)</f>
        <v>6.5934065934065936E-2</v>
      </c>
    </row>
    <row r="28" spans="1:14" s="18" customFormat="1" ht="20.100000000000001" customHeight="1" x14ac:dyDescent="0.25">
      <c r="A28" s="35" t="s">
        <v>370</v>
      </c>
      <c r="B28" s="36" t="s">
        <v>95</v>
      </c>
      <c r="C28" s="37" t="s">
        <v>96</v>
      </c>
      <c r="D28" s="37" t="s">
        <v>97</v>
      </c>
      <c r="E28" s="38" t="s">
        <v>98</v>
      </c>
      <c r="F28" s="161"/>
      <c r="G28" s="53"/>
      <c r="H28" s="33">
        <f>_xlfn.IFS(F28="A",I28,F28="B",J28,F28="C",K28,TRUE,L28)</f>
        <v>4</v>
      </c>
      <c r="I28" s="41">
        <v>1</v>
      </c>
      <c r="J28" s="41">
        <v>2</v>
      </c>
      <c r="K28" s="41">
        <v>3</v>
      </c>
      <c r="L28" s="41">
        <v>4</v>
      </c>
      <c r="M28" s="42">
        <f>L28/SUM(L$26:L$30)</f>
        <v>0.15384615384615385</v>
      </c>
      <c r="N28" s="42">
        <f>L28/SUM(L$8:L$30)</f>
        <v>4.3956043956043959E-2</v>
      </c>
    </row>
    <row r="29" spans="1:14" s="18" customFormat="1" ht="20.100000000000001" customHeight="1" x14ac:dyDescent="0.25">
      <c r="A29" s="35" t="s">
        <v>99</v>
      </c>
      <c r="B29" s="36">
        <v>1</v>
      </c>
      <c r="C29" s="44" t="s">
        <v>100</v>
      </c>
      <c r="D29" s="58" t="s">
        <v>101</v>
      </c>
      <c r="E29" s="38" t="s">
        <v>102</v>
      </c>
      <c r="F29" s="161"/>
      <c r="G29" s="53"/>
      <c r="H29" s="33">
        <f>_xlfn.IFS(F29="A",I29,F29="B",J29,F29="C",K29,TRUE,L29)</f>
        <v>8</v>
      </c>
      <c r="I29" s="41">
        <v>0</v>
      </c>
      <c r="J29" s="41">
        <v>2</v>
      </c>
      <c r="K29" s="41">
        <v>5</v>
      </c>
      <c r="L29" s="41">
        <v>8</v>
      </c>
      <c r="M29" s="42">
        <f>L29/SUM(L$26:L$30)</f>
        <v>0.30769230769230771</v>
      </c>
      <c r="N29" s="42">
        <f>L29/SUM(L$8:L$30)</f>
        <v>8.7912087912087919E-2</v>
      </c>
    </row>
    <row r="30" spans="1:14" s="18" customFormat="1" ht="20.100000000000001" customHeight="1" x14ac:dyDescent="0.25">
      <c r="A30" s="35" t="s">
        <v>103</v>
      </c>
      <c r="B30" s="36" t="s">
        <v>104</v>
      </c>
      <c r="C30" s="37" t="s">
        <v>105</v>
      </c>
      <c r="D30" s="37" t="s">
        <v>106</v>
      </c>
      <c r="E30" s="37" t="s">
        <v>107</v>
      </c>
      <c r="F30" s="162"/>
      <c r="G30" s="53"/>
      <c r="H30" s="33">
        <f>_xlfn.IFS(F30="A",I30,F30="B",J30,F30="C",K30,TRUE,L30)</f>
        <v>4</v>
      </c>
      <c r="I30" s="41">
        <v>1</v>
      </c>
      <c r="J30" s="41">
        <v>2</v>
      </c>
      <c r="K30" s="41">
        <v>3</v>
      </c>
      <c r="L30" s="41">
        <v>4</v>
      </c>
      <c r="M30" s="42">
        <f>L30/SUM(L$26:L$30)</f>
        <v>0.15384615384615385</v>
      </c>
      <c r="N30" s="42">
        <f>L30/SUM(L$8:L$30)</f>
        <v>4.3956043956043959E-2</v>
      </c>
    </row>
    <row r="31" spans="1:14" ht="20.100000000000001" customHeight="1" x14ac:dyDescent="0.2">
      <c r="H31" s="66">
        <f>1.1538-(SUM(H26:H30)/SUM(L26:L30))</f>
        <v>0.15379999999999994</v>
      </c>
    </row>
  </sheetData>
  <sortState xmlns:xlrd2="http://schemas.microsoft.com/office/spreadsheetml/2017/richdata2" ref="D53:D56">
    <sortCondition descending="1" ref="D53:D56"/>
  </sortState>
  <conditionalFormatting sqref="B8:B13 B17:B22 B26:B30">
    <cfRule type="expression" dxfId="43" priority="19">
      <formula>F8="A"</formula>
    </cfRule>
  </conditionalFormatting>
  <conditionalFormatting sqref="C8:C13 C17:C22 C26:C30">
    <cfRule type="expression" dxfId="42" priority="18">
      <formula>F8="B"</formula>
    </cfRule>
  </conditionalFormatting>
  <conditionalFormatting sqref="D8:D13 D17:D22 D26:D30">
    <cfRule type="expression" dxfId="41" priority="17">
      <formula>F8="C"</formula>
    </cfRule>
  </conditionalFormatting>
  <conditionalFormatting sqref="E8:E13 E17:E22 E26:E30">
    <cfRule type="expression" dxfId="40" priority="16">
      <formula>F8="D"</formula>
    </cfRule>
  </conditionalFormatting>
  <conditionalFormatting sqref="L8:L12">
    <cfRule type="colorScale" priority="107">
      <colorScale>
        <cfvo type="min"/>
        <cfvo type="percentile" val="50"/>
        <cfvo type="max"/>
        <color rgb="FFF8696B"/>
        <color rgb="FFFFEB84"/>
        <color rgb="FF63BE7B"/>
      </colorScale>
    </cfRule>
  </conditionalFormatting>
  <conditionalFormatting sqref="L13">
    <cfRule type="colorScale" priority="1">
      <colorScale>
        <cfvo type="min"/>
        <cfvo type="percentile" val="50"/>
        <cfvo type="max"/>
        <color rgb="FFF8696B"/>
        <color rgb="FFFFEB84"/>
        <color rgb="FF63BE7B"/>
      </colorScale>
    </cfRule>
  </conditionalFormatting>
  <conditionalFormatting sqref="L17:L20">
    <cfRule type="colorScale" priority="108">
      <colorScale>
        <cfvo type="min"/>
        <cfvo type="percentile" val="50"/>
        <cfvo type="max"/>
        <color rgb="FFF8696B"/>
        <color rgb="FFFFEB84"/>
        <color rgb="FF63BE7B"/>
      </colorScale>
    </cfRule>
  </conditionalFormatting>
  <conditionalFormatting sqref="L21">
    <cfRule type="colorScale" priority="43">
      <colorScale>
        <cfvo type="min"/>
        <cfvo type="percentile" val="50"/>
        <cfvo type="max"/>
        <color rgb="FFF8696B"/>
        <color rgb="FFFFEB84"/>
        <color rgb="FF63BE7B"/>
      </colorScale>
    </cfRule>
  </conditionalFormatting>
  <conditionalFormatting sqref="L22">
    <cfRule type="colorScale" priority="24">
      <colorScale>
        <cfvo type="min"/>
        <cfvo type="percentile" val="50"/>
        <cfvo type="max"/>
        <color rgb="FFF8696B"/>
        <color rgb="FFFFEB84"/>
        <color rgb="FF63BE7B"/>
      </colorScale>
    </cfRule>
  </conditionalFormatting>
  <conditionalFormatting sqref="L26:L30">
    <cfRule type="colorScale" priority="32">
      <colorScale>
        <cfvo type="min"/>
        <cfvo type="percentile" val="50"/>
        <cfvo type="max"/>
        <color rgb="FFF8696B"/>
        <color rgb="FFFFEB84"/>
        <color rgb="FF63BE7B"/>
      </colorScale>
    </cfRule>
  </conditionalFormatting>
  <conditionalFormatting sqref="N8:N12 N26:N30 N23:N24 N14:N21">
    <cfRule type="colorScale" priority="33">
      <colorScale>
        <cfvo type="min"/>
        <cfvo type="percentile" val="50"/>
        <cfvo type="max"/>
        <color rgb="FFF8696B"/>
        <color rgb="FFFFEB84"/>
        <color rgb="FF63BE7B"/>
      </colorScale>
    </cfRule>
  </conditionalFormatting>
  <conditionalFormatting sqref="N13">
    <cfRule type="colorScale" priority="2">
      <colorScale>
        <cfvo type="min"/>
        <cfvo type="percentile" val="50"/>
        <cfvo type="max"/>
        <color rgb="FFF8696B"/>
        <color rgb="FFFFEB84"/>
        <color rgb="FF63BE7B"/>
      </colorScale>
    </cfRule>
  </conditionalFormatting>
  <conditionalFormatting sqref="N22">
    <cfRule type="colorScale" priority="23">
      <colorScale>
        <cfvo type="min"/>
        <cfvo type="percentile" val="50"/>
        <cfvo type="max"/>
        <color rgb="FFF8696B"/>
        <color rgb="FFFFEB84"/>
        <color rgb="FF63BE7B"/>
      </colorScale>
    </cfRule>
  </conditionalFormatting>
  <conditionalFormatting sqref="N25">
    <cfRule type="colorScale" priority="31">
      <colorScale>
        <cfvo type="min"/>
        <cfvo type="percentile" val="50"/>
        <cfvo type="max"/>
        <color rgb="FFF8696B"/>
        <color rgb="FFFFEB84"/>
        <color rgb="FF63BE7B"/>
      </colorScale>
    </cfRule>
  </conditionalFormatting>
  <dataValidations count="2">
    <dataValidation type="list" allowBlank="1" showDropDown="1" showInputMessage="1" showErrorMessage="1" errorTitle="Please check input" error="Please enter A, B, C or D." sqref="F17:F22 F8:F13" xr:uid="{8A5C3C08-EE6B-4168-B2D8-A702F20027F5}">
      <formula1>"A,B,C,D,a,b,c,d"</formula1>
    </dataValidation>
    <dataValidation type="list" allowBlank="1" showDropDown="1" showInputMessage="1" showErrorMessage="1" error="Please choose only A, B or C." sqref="F26:F30" xr:uid="{0693D31F-CAD1-4457-A1E0-9BD4A5B3F724}">
      <formula1>"A,B,C,D,a,b,c,d"</formula1>
    </dataValidation>
  </dataValidations>
  <printOptions horizontalCentered="1"/>
  <pageMargins left="0.70866141732283472" right="0.70866141732283472" top="0.74803149606299213" bottom="0.74803149606299213" header="0.31496062992125984" footer="0.31496062992125984"/>
  <pageSetup paperSize="9" scale="60" orientation="landscape" horizontalDpi="300" verticalDpi="300" r:id="rId1"/>
  <colBreaks count="1" manualBreakCount="1">
    <brk id="7" max="104857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6576-504C-480B-9CF7-90423AB34F8C}">
  <sheetPr>
    <tabColor theme="9" tint="0.79998168889431442"/>
  </sheetPr>
  <dimension ref="A1:AF39"/>
  <sheetViews>
    <sheetView zoomScale="80" zoomScaleNormal="80" workbookViewId="0"/>
  </sheetViews>
  <sheetFormatPr defaultRowHeight="14.25" outlineLevelCol="1" x14ac:dyDescent="0.2"/>
  <cols>
    <col min="1" max="1" width="65.7109375" style="27" customWidth="1"/>
    <col min="2" max="5" width="20.7109375" style="27" customWidth="1"/>
    <col min="6" max="6" width="17.7109375" style="27" customWidth="1"/>
    <col min="7" max="7" width="50.7109375" style="27" customWidth="1"/>
    <col min="8" max="13" width="9.140625" style="27" hidden="1" customWidth="1" outlineLevel="1"/>
    <col min="14" max="14" width="9.140625" style="28" hidden="1" customWidth="1" outlineLevel="1"/>
    <col min="15" max="15" width="9.140625" style="27" hidden="1" customWidth="1" outlineLevel="1"/>
    <col min="16" max="16" width="9.140625" style="27" collapsed="1"/>
    <col min="17" max="16384" width="9.140625" style="27"/>
  </cols>
  <sheetData>
    <row r="1" spans="1:32" ht="20.25" x14ac:dyDescent="0.3">
      <c r="A1" s="23"/>
      <c r="B1" s="23"/>
      <c r="C1" s="24" t="s">
        <v>19</v>
      </c>
      <c r="D1" s="23"/>
      <c r="E1" s="23"/>
      <c r="F1" s="23"/>
      <c r="G1" s="24" t="s">
        <v>108</v>
      </c>
    </row>
    <row r="2" spans="1:32" x14ac:dyDescent="0.2">
      <c r="A2" s="25"/>
      <c r="B2" s="25"/>
      <c r="C2" s="29" t="str">
        <f>Pr_name</f>
        <v>&lt;Project name&gt;</v>
      </c>
      <c r="D2" s="25"/>
      <c r="E2" s="25"/>
      <c r="F2" s="25"/>
      <c r="G2" s="25"/>
    </row>
    <row r="3" spans="1:32" x14ac:dyDescent="0.2">
      <c r="A3" s="25"/>
      <c r="B3" s="25"/>
      <c r="C3" s="29"/>
      <c r="D3" s="25"/>
      <c r="E3" s="25"/>
      <c r="F3" s="25"/>
      <c r="G3" s="25"/>
    </row>
    <row r="4" spans="1:32" x14ac:dyDescent="0.2">
      <c r="A4" s="25"/>
      <c r="B4" s="25"/>
      <c r="C4" s="29" t="s">
        <v>109</v>
      </c>
      <c r="D4" s="25"/>
      <c r="E4" s="25"/>
      <c r="F4" s="25"/>
      <c r="G4" s="25"/>
    </row>
    <row r="5" spans="1:32" x14ac:dyDescent="0.2">
      <c r="A5" s="25"/>
      <c r="B5" s="25"/>
      <c r="C5" s="29" t="s">
        <v>110</v>
      </c>
      <c r="D5" s="25"/>
      <c r="E5" s="25"/>
      <c r="F5" s="25"/>
      <c r="G5" s="25"/>
    </row>
    <row r="6" spans="1:32" ht="20.100000000000001" customHeight="1" x14ac:dyDescent="0.2"/>
    <row r="7" spans="1:32" ht="20.100000000000001" customHeight="1" x14ac:dyDescent="0.2">
      <c r="A7" s="31" t="s">
        <v>23</v>
      </c>
      <c r="B7" s="31" t="s">
        <v>24</v>
      </c>
      <c r="C7" s="31" t="s">
        <v>25</v>
      </c>
      <c r="D7" s="31" t="s">
        <v>26</v>
      </c>
      <c r="E7" s="31" t="s">
        <v>27</v>
      </c>
      <c r="F7" s="31" t="s">
        <v>28</v>
      </c>
      <c r="G7" s="31" t="s">
        <v>29</v>
      </c>
      <c r="H7" s="32" t="s">
        <v>30</v>
      </c>
      <c r="I7" s="33" t="s">
        <v>24</v>
      </c>
      <c r="J7" s="32" t="s">
        <v>25</v>
      </c>
      <c r="K7" s="32" t="s">
        <v>26</v>
      </c>
      <c r="L7" s="32" t="s">
        <v>27</v>
      </c>
      <c r="M7" s="32" t="s">
        <v>31</v>
      </c>
      <c r="N7" s="34" t="s">
        <v>32</v>
      </c>
    </row>
    <row r="8" spans="1:32" ht="20.100000000000001" customHeight="1" x14ac:dyDescent="0.2">
      <c r="A8" s="35" t="s">
        <v>112</v>
      </c>
      <c r="B8" s="37" t="s">
        <v>113</v>
      </c>
      <c r="C8" s="37" t="s">
        <v>589</v>
      </c>
      <c r="D8" s="37" t="s">
        <v>590</v>
      </c>
      <c r="E8" s="37" t="s">
        <v>591</v>
      </c>
      <c r="F8" s="157"/>
      <c r="G8" s="40"/>
      <c r="H8" s="33">
        <f t="shared" ref="H8:H12" si="0">_xlfn.IFS(F8="A",I8,F8="B",J8,F8="C",K8,TRUE,L8)</f>
        <v>9</v>
      </c>
      <c r="I8" s="41">
        <v>0</v>
      </c>
      <c r="J8" s="41">
        <v>3</v>
      </c>
      <c r="K8" s="41">
        <v>6</v>
      </c>
      <c r="L8" s="41">
        <v>9</v>
      </c>
      <c r="M8" s="42">
        <f>L8/SUM(L$8:L$12)</f>
        <v>0.27272727272727271</v>
      </c>
      <c r="N8" s="43">
        <f>L8/SUM(L$8:L$38)</f>
        <v>7.3170731707317069E-2</v>
      </c>
    </row>
    <row r="9" spans="1:32" ht="20.100000000000001" customHeight="1" x14ac:dyDescent="0.2">
      <c r="A9" s="35" t="s">
        <v>114</v>
      </c>
      <c r="B9" s="36" t="s">
        <v>34</v>
      </c>
      <c r="C9" s="44" t="s">
        <v>115</v>
      </c>
      <c r="D9" s="44" t="s">
        <v>116</v>
      </c>
      <c r="E9" s="38" t="s">
        <v>117</v>
      </c>
      <c r="F9" s="158"/>
      <c r="G9" s="40"/>
      <c r="H9" s="33">
        <f t="shared" si="0"/>
        <v>3</v>
      </c>
      <c r="I9" s="41">
        <v>0</v>
      </c>
      <c r="J9" s="41">
        <v>1</v>
      </c>
      <c r="K9" s="41">
        <v>2</v>
      </c>
      <c r="L9" s="41">
        <v>3</v>
      </c>
      <c r="M9" s="42">
        <f>L9/SUM(L$8:L$12)</f>
        <v>9.0909090909090912E-2</v>
      </c>
      <c r="N9" s="43">
        <f>L9/SUM(L$8:L$38)</f>
        <v>2.4390243902439025E-2</v>
      </c>
    </row>
    <row r="10" spans="1:32" ht="20.100000000000001" customHeight="1" x14ac:dyDescent="0.2">
      <c r="A10" s="35" t="s">
        <v>118</v>
      </c>
      <c r="B10" s="36" t="s">
        <v>119</v>
      </c>
      <c r="C10" s="37" t="s">
        <v>120</v>
      </c>
      <c r="D10" s="37" t="s">
        <v>121</v>
      </c>
      <c r="E10" s="38" t="s">
        <v>122</v>
      </c>
      <c r="F10" s="158"/>
      <c r="G10" s="40"/>
      <c r="H10" s="33">
        <f t="shared" si="0"/>
        <v>6</v>
      </c>
      <c r="I10" s="41">
        <v>0</v>
      </c>
      <c r="J10" s="41">
        <v>2</v>
      </c>
      <c r="K10" s="41">
        <v>4</v>
      </c>
      <c r="L10" s="41">
        <v>6</v>
      </c>
      <c r="M10" s="42">
        <f>L10/SUM(L$8:L$12)</f>
        <v>0.18181818181818182</v>
      </c>
      <c r="N10" s="43">
        <f>L10/SUM(L$8:L$38)</f>
        <v>4.878048780487805E-2</v>
      </c>
    </row>
    <row r="11" spans="1:32" ht="20.100000000000001" customHeight="1" x14ac:dyDescent="0.2">
      <c r="A11" s="35" t="s">
        <v>123</v>
      </c>
      <c r="B11" s="36" t="s">
        <v>124</v>
      </c>
      <c r="C11" s="37" t="s">
        <v>125</v>
      </c>
      <c r="D11" s="37" t="s">
        <v>126</v>
      </c>
      <c r="E11" s="38" t="s">
        <v>127</v>
      </c>
      <c r="F11" s="158"/>
      <c r="G11" s="40"/>
      <c r="H11" s="33">
        <f t="shared" si="0"/>
        <v>9</v>
      </c>
      <c r="I11" s="41">
        <v>0</v>
      </c>
      <c r="J11" s="41">
        <v>2</v>
      </c>
      <c r="K11" s="41">
        <v>5</v>
      </c>
      <c r="L11" s="41">
        <v>9</v>
      </c>
      <c r="M11" s="42">
        <f>L11/SUM(L$8:L$12)</f>
        <v>0.27272727272727271</v>
      </c>
      <c r="N11" s="43">
        <f>L11/SUM(L$8:L$38)</f>
        <v>7.3170731707317069E-2</v>
      </c>
    </row>
    <row r="12" spans="1:32" ht="20.100000000000001" customHeight="1" x14ac:dyDescent="0.2">
      <c r="A12" s="35" t="s">
        <v>128</v>
      </c>
      <c r="B12" s="36" t="s">
        <v>129</v>
      </c>
      <c r="C12" s="37" t="s">
        <v>130</v>
      </c>
      <c r="D12" s="37" t="s">
        <v>131</v>
      </c>
      <c r="E12" s="37" t="s">
        <v>132</v>
      </c>
      <c r="F12" s="159"/>
      <c r="G12" s="40"/>
      <c r="H12" s="33">
        <f t="shared" si="0"/>
        <v>6</v>
      </c>
      <c r="I12" s="41">
        <v>0</v>
      </c>
      <c r="J12" s="41">
        <v>2</v>
      </c>
      <c r="K12" s="41">
        <v>4</v>
      </c>
      <c r="L12" s="41">
        <v>6</v>
      </c>
      <c r="M12" s="42">
        <f>L12/SUM(L$8:L$12)</f>
        <v>0.18181818181818182</v>
      </c>
      <c r="N12" s="43">
        <f>L12/SUM(L$8:L$38)</f>
        <v>4.878048780487805E-2</v>
      </c>
    </row>
    <row r="13" spans="1:32" ht="20.100000000000001" customHeight="1" x14ac:dyDescent="0.2">
      <c r="A13" s="47"/>
      <c r="B13" s="48"/>
      <c r="C13" s="48"/>
      <c r="D13" s="48"/>
      <c r="E13" s="48"/>
      <c r="F13" s="49"/>
      <c r="G13" s="50"/>
      <c r="H13" s="51">
        <f>IF(COUNTA(F8:F12)&lt;5,'Early assessment'!H14,SUM('Early assessment'!H8:H12,H8:H12)/SUM('Early assessment'!L8:L12,L8:L12))</f>
        <v>1</v>
      </c>
      <c r="I13" s="20"/>
      <c r="J13" s="20"/>
      <c r="K13" s="20"/>
      <c r="L13" s="20"/>
      <c r="M13" s="42"/>
      <c r="N13" s="43"/>
    </row>
    <row r="14" spans="1:32" ht="20.100000000000001" customHeight="1" x14ac:dyDescent="0.2"/>
    <row r="15" spans="1:32" s="18" customFormat="1" ht="20.100000000000001" customHeight="1" x14ac:dyDescent="0.25">
      <c r="A15" s="31" t="s">
        <v>82</v>
      </c>
      <c r="B15" s="31" t="s">
        <v>24</v>
      </c>
      <c r="C15" s="31" t="s">
        <v>25</v>
      </c>
      <c r="D15" s="31" t="s">
        <v>26</v>
      </c>
      <c r="E15" s="31" t="s">
        <v>27</v>
      </c>
      <c r="F15" s="31" t="s">
        <v>28</v>
      </c>
      <c r="G15" s="31" t="s">
        <v>83</v>
      </c>
      <c r="H15" s="32" t="s">
        <v>30</v>
      </c>
      <c r="I15" s="33" t="s">
        <v>24</v>
      </c>
      <c r="J15" s="32" t="s">
        <v>25</v>
      </c>
      <c r="K15" s="32" t="s">
        <v>26</v>
      </c>
      <c r="L15" s="32" t="s">
        <v>27</v>
      </c>
      <c r="M15" s="32" t="s">
        <v>31</v>
      </c>
      <c r="N15" s="34" t="s">
        <v>32</v>
      </c>
    </row>
    <row r="16" spans="1:32" s="18" customFormat="1" ht="20.100000000000001" customHeight="1" x14ac:dyDescent="0.25">
      <c r="A16" s="35" t="s">
        <v>133</v>
      </c>
      <c r="B16" s="36" t="s">
        <v>134</v>
      </c>
      <c r="C16" s="37" t="s">
        <v>135</v>
      </c>
      <c r="D16" s="37" t="s">
        <v>136</v>
      </c>
      <c r="E16" s="52" t="s">
        <v>34</v>
      </c>
      <c r="F16" s="158"/>
      <c r="G16" s="53"/>
      <c r="H16" s="33">
        <f t="shared" ref="H16:H19" si="1">_xlfn.IFS(F16="A",I16,F16="B",J16,F16="C",K16,TRUE,L16)</f>
        <v>4</v>
      </c>
      <c r="I16" s="41">
        <v>1</v>
      </c>
      <c r="J16" s="41">
        <v>2</v>
      </c>
      <c r="K16" s="41">
        <v>3</v>
      </c>
      <c r="L16" s="41">
        <v>4</v>
      </c>
      <c r="M16" s="42">
        <f>L16/SUM(L$16:L$19)</f>
        <v>0.25</v>
      </c>
      <c r="N16" s="43">
        <f>L16/SUM(L$8:L$38)</f>
        <v>3.2520325203252036E-2</v>
      </c>
      <c r="O16" s="54"/>
      <c r="P16" s="54"/>
      <c r="Q16" s="54"/>
      <c r="R16" s="54"/>
      <c r="S16" s="54"/>
      <c r="T16" s="54"/>
      <c r="U16" s="54"/>
      <c r="V16" s="54"/>
      <c r="W16" s="54"/>
      <c r="X16" s="54"/>
      <c r="Y16" s="54"/>
      <c r="Z16" s="54"/>
      <c r="AA16" s="54"/>
      <c r="AB16" s="54"/>
      <c r="AC16" s="54"/>
      <c r="AD16" s="54"/>
      <c r="AE16" s="54"/>
      <c r="AF16" s="54"/>
    </row>
    <row r="17" spans="1:15" s="18" customFormat="1" ht="20.100000000000001" customHeight="1" x14ac:dyDescent="0.25">
      <c r="A17" s="35" t="s">
        <v>137</v>
      </c>
      <c r="B17" s="36" t="s">
        <v>138</v>
      </c>
      <c r="C17" s="37" t="s">
        <v>139</v>
      </c>
      <c r="D17" s="37" t="s">
        <v>134</v>
      </c>
      <c r="E17" s="52" t="s">
        <v>88</v>
      </c>
      <c r="F17" s="158"/>
      <c r="G17" s="53"/>
      <c r="H17" s="33">
        <f t="shared" si="1"/>
        <v>4</v>
      </c>
      <c r="I17" s="41">
        <v>1</v>
      </c>
      <c r="J17" s="41">
        <v>2</v>
      </c>
      <c r="K17" s="41">
        <v>3</v>
      </c>
      <c r="L17" s="41">
        <v>4</v>
      </c>
      <c r="M17" s="42">
        <f>L17/SUM(L$16:L$19)</f>
        <v>0.25</v>
      </c>
      <c r="N17" s="43">
        <f>L17/SUM(L$8:L$38)</f>
        <v>3.2520325203252036E-2</v>
      </c>
    </row>
    <row r="18" spans="1:15" s="18" customFormat="1" ht="20.100000000000001" customHeight="1" x14ac:dyDescent="0.25">
      <c r="A18" s="35" t="s">
        <v>371</v>
      </c>
      <c r="B18" s="36" t="s">
        <v>138</v>
      </c>
      <c r="C18" s="37" t="s">
        <v>139</v>
      </c>
      <c r="D18" s="37" t="s">
        <v>134</v>
      </c>
      <c r="E18" s="52" t="s">
        <v>88</v>
      </c>
      <c r="F18" s="158"/>
      <c r="G18" s="53"/>
      <c r="H18" s="33">
        <f t="shared" si="1"/>
        <v>4</v>
      </c>
      <c r="I18" s="41">
        <v>1</v>
      </c>
      <c r="J18" s="41">
        <v>2</v>
      </c>
      <c r="K18" s="41">
        <v>3</v>
      </c>
      <c r="L18" s="41">
        <v>4</v>
      </c>
      <c r="M18" s="42">
        <f>L18/SUM(L$16:L$19)</f>
        <v>0.25</v>
      </c>
      <c r="N18" s="43">
        <f>L18/SUM(L$8:L$38)</f>
        <v>3.2520325203252036E-2</v>
      </c>
    </row>
    <row r="19" spans="1:15" s="18" customFormat="1" ht="20.100000000000001" customHeight="1" x14ac:dyDescent="0.25">
      <c r="A19" s="35" t="s">
        <v>140</v>
      </c>
      <c r="B19" s="36" t="s">
        <v>141</v>
      </c>
      <c r="C19" s="37" t="s">
        <v>142</v>
      </c>
      <c r="D19" s="37" t="s">
        <v>101</v>
      </c>
      <c r="E19" s="37" t="s">
        <v>102</v>
      </c>
      <c r="F19" s="159"/>
      <c r="G19" s="53"/>
      <c r="H19" s="33">
        <f t="shared" si="1"/>
        <v>4</v>
      </c>
      <c r="I19" s="41">
        <v>1</v>
      </c>
      <c r="J19" s="41">
        <v>2</v>
      </c>
      <c r="K19" s="41">
        <v>3</v>
      </c>
      <c r="L19" s="41">
        <v>4</v>
      </c>
      <c r="M19" s="42">
        <f>L19/SUM(L$16:L$19)</f>
        <v>0.25</v>
      </c>
      <c r="N19" s="43">
        <f>L19/SUM(L$8:L$38)</f>
        <v>3.2520325203252036E-2</v>
      </c>
    </row>
    <row r="20" spans="1:15" s="18" customFormat="1" ht="20.100000000000001" customHeight="1" x14ac:dyDescent="0.25">
      <c r="A20" s="47"/>
      <c r="B20" s="48"/>
      <c r="C20" s="48"/>
      <c r="D20" s="55"/>
      <c r="E20" s="48"/>
      <c r="F20" s="56" t="str" cm="1">
        <f t="array" ref="F20">IF(COUNTA(F16:F19)=4,_xlfn.IFS(H20&gt;=0.75,"Simple",H20&gt;=0.5,"Medium", TRUE,"Complex"),"")</f>
        <v/>
      </c>
      <c r="H20" s="51">
        <f>IF(COUNTA(F16:F19)&lt;4,'Early assessment'!H31,1.19-(SUM('Early assessment'!H26:H30,H16:H19)/SUM('Early assessment'!L26:L30,L16:L19)))</f>
        <v>0.15379999999999994</v>
      </c>
      <c r="I20" s="20"/>
      <c r="J20" s="20"/>
      <c r="K20" s="20"/>
      <c r="L20" s="20"/>
      <c r="M20" s="42"/>
      <c r="N20" s="43"/>
    </row>
    <row r="21" spans="1:15" ht="20.100000000000001" customHeight="1" x14ac:dyDescent="0.2">
      <c r="L21" s="57"/>
    </row>
    <row r="22" spans="1:15" s="18" customFormat="1" ht="20.100000000000001" customHeight="1" x14ac:dyDescent="0.25">
      <c r="A22" s="31" t="s">
        <v>143</v>
      </c>
      <c r="B22" s="31" t="s">
        <v>24</v>
      </c>
      <c r="C22" s="31" t="s">
        <v>25</v>
      </c>
      <c r="D22" s="31" t="s">
        <v>26</v>
      </c>
      <c r="E22" s="31" t="s">
        <v>27</v>
      </c>
      <c r="F22" s="31" t="s">
        <v>28</v>
      </c>
      <c r="G22" s="31" t="s">
        <v>83</v>
      </c>
      <c r="H22" s="32" t="s">
        <v>30</v>
      </c>
      <c r="I22" s="33" t="s">
        <v>24</v>
      </c>
      <c r="J22" s="32" t="s">
        <v>25</v>
      </c>
      <c r="K22" s="32" t="s">
        <v>26</v>
      </c>
      <c r="L22" s="32" t="s">
        <v>27</v>
      </c>
      <c r="M22" s="32" t="s">
        <v>31</v>
      </c>
      <c r="N22" s="34" t="s">
        <v>32</v>
      </c>
    </row>
    <row r="23" spans="1:15" s="18" customFormat="1" ht="20.100000000000001" customHeight="1" x14ac:dyDescent="0.25">
      <c r="A23" s="35" t="s">
        <v>360</v>
      </c>
      <c r="B23" s="36" t="s">
        <v>34</v>
      </c>
      <c r="C23" s="37" t="s">
        <v>139</v>
      </c>
      <c r="D23" s="37" t="s">
        <v>134</v>
      </c>
      <c r="E23" s="52" t="s">
        <v>88</v>
      </c>
      <c r="F23" s="158" t="s">
        <v>24</v>
      </c>
      <c r="G23" s="53" t="s">
        <v>593</v>
      </c>
      <c r="H23" s="33">
        <f t="shared" ref="H23:H38" si="2">_xlfn.IFS(F23="A",I23,F23="B",J23,F23="C",K23,TRUE,L23)</f>
        <v>0</v>
      </c>
      <c r="I23" s="41">
        <v>0</v>
      </c>
      <c r="J23" s="41">
        <v>2</v>
      </c>
      <c r="K23" s="41">
        <v>3</v>
      </c>
      <c r="L23" s="20">
        <v>4</v>
      </c>
      <c r="M23" s="42">
        <f t="shared" ref="M23:M38" si="3">L23/SUM(L$23:L$38)</f>
        <v>5.4054054054054057E-2</v>
      </c>
      <c r="N23" s="43">
        <f t="shared" ref="N23:N38" si="4">L23/SUM(L$8:L$38)</f>
        <v>3.2520325203252036E-2</v>
      </c>
    </row>
    <row r="24" spans="1:15" s="18" customFormat="1" ht="20.100000000000001" customHeight="1" x14ac:dyDescent="0.25">
      <c r="A24" s="35" t="s">
        <v>361</v>
      </c>
      <c r="B24" s="36" t="s">
        <v>34</v>
      </c>
      <c r="C24" s="37" t="s">
        <v>139</v>
      </c>
      <c r="D24" s="37" t="s">
        <v>134</v>
      </c>
      <c r="E24" s="52" t="s">
        <v>88</v>
      </c>
      <c r="F24" s="158"/>
      <c r="G24" s="53" t="s">
        <v>593</v>
      </c>
      <c r="H24" s="33">
        <f t="shared" si="2"/>
        <v>4</v>
      </c>
      <c r="I24" s="41">
        <v>0</v>
      </c>
      <c r="J24" s="41">
        <v>2</v>
      </c>
      <c r="K24" s="41">
        <v>3</v>
      </c>
      <c r="L24" s="20">
        <v>4</v>
      </c>
      <c r="M24" s="42">
        <f t="shared" si="3"/>
        <v>5.4054054054054057E-2</v>
      </c>
      <c r="N24" s="43">
        <f t="shared" si="4"/>
        <v>3.2520325203252036E-2</v>
      </c>
    </row>
    <row r="25" spans="1:15" s="18" customFormat="1" ht="20.100000000000001" customHeight="1" x14ac:dyDescent="0.25">
      <c r="A25" s="35" t="s">
        <v>362</v>
      </c>
      <c r="B25" s="36" t="s">
        <v>34</v>
      </c>
      <c r="C25" s="37" t="s">
        <v>139</v>
      </c>
      <c r="D25" s="37" t="s">
        <v>134</v>
      </c>
      <c r="E25" s="52" t="s">
        <v>88</v>
      </c>
      <c r="F25" s="158"/>
      <c r="G25" s="53" t="s">
        <v>593</v>
      </c>
      <c r="H25" s="33">
        <f t="shared" si="2"/>
        <v>4</v>
      </c>
      <c r="I25" s="41">
        <v>0</v>
      </c>
      <c r="J25" s="41">
        <v>2</v>
      </c>
      <c r="K25" s="41">
        <v>3</v>
      </c>
      <c r="L25" s="20">
        <v>4</v>
      </c>
      <c r="M25" s="42">
        <f t="shared" si="3"/>
        <v>5.4054054054054057E-2</v>
      </c>
      <c r="N25" s="43">
        <f t="shared" si="4"/>
        <v>3.2520325203252036E-2</v>
      </c>
    </row>
    <row r="26" spans="1:15" s="18" customFormat="1" ht="20.100000000000001" customHeight="1" x14ac:dyDescent="0.25">
      <c r="A26" s="35" t="s">
        <v>144</v>
      </c>
      <c r="B26" s="36" t="s">
        <v>141</v>
      </c>
      <c r="C26" s="37" t="s">
        <v>142</v>
      </c>
      <c r="D26" s="58" t="s">
        <v>101</v>
      </c>
      <c r="E26" s="38" t="s">
        <v>102</v>
      </c>
      <c r="F26" s="158"/>
      <c r="G26" s="53" t="s">
        <v>593</v>
      </c>
      <c r="H26" s="33">
        <f t="shared" si="2"/>
        <v>8</v>
      </c>
      <c r="I26" s="41">
        <v>1</v>
      </c>
      <c r="J26" s="59">
        <v>2</v>
      </c>
      <c r="K26" s="59">
        <v>5</v>
      </c>
      <c r="L26" s="59">
        <v>8</v>
      </c>
      <c r="M26" s="42">
        <f t="shared" si="3"/>
        <v>0.10810810810810811</v>
      </c>
      <c r="N26" s="43">
        <f t="shared" si="4"/>
        <v>6.5040650406504072E-2</v>
      </c>
      <c r="O26" s="18" t="s">
        <v>145</v>
      </c>
    </row>
    <row r="27" spans="1:15" s="18" customFormat="1" ht="20.100000000000001" customHeight="1" x14ac:dyDescent="0.25">
      <c r="A27" s="35" t="s">
        <v>146</v>
      </c>
      <c r="B27" s="36" t="s">
        <v>34</v>
      </c>
      <c r="C27" s="37" t="s">
        <v>139</v>
      </c>
      <c r="D27" s="37" t="s">
        <v>134</v>
      </c>
      <c r="E27" s="52" t="s">
        <v>88</v>
      </c>
      <c r="F27" s="158"/>
      <c r="G27" s="53" t="s">
        <v>593</v>
      </c>
      <c r="H27" s="33">
        <f t="shared" si="2"/>
        <v>4</v>
      </c>
      <c r="I27" s="41">
        <v>0</v>
      </c>
      <c r="J27" s="41">
        <v>2</v>
      </c>
      <c r="K27" s="41">
        <v>3</v>
      </c>
      <c r="L27" s="20">
        <v>4</v>
      </c>
      <c r="M27" s="42">
        <f t="shared" si="3"/>
        <v>5.4054054054054057E-2</v>
      </c>
      <c r="N27" s="43">
        <f t="shared" si="4"/>
        <v>3.2520325203252036E-2</v>
      </c>
    </row>
    <row r="28" spans="1:15" s="18" customFormat="1" ht="20.100000000000001" customHeight="1" x14ac:dyDescent="0.25">
      <c r="A28" s="35" t="s">
        <v>147</v>
      </c>
      <c r="B28" s="36" t="s">
        <v>138</v>
      </c>
      <c r="C28" s="37" t="s">
        <v>139</v>
      </c>
      <c r="D28" s="37" t="s">
        <v>134</v>
      </c>
      <c r="E28" s="52" t="s">
        <v>88</v>
      </c>
      <c r="F28" s="158"/>
      <c r="G28" s="53"/>
      <c r="H28" s="33">
        <f t="shared" si="2"/>
        <v>4</v>
      </c>
      <c r="I28" s="41">
        <v>1</v>
      </c>
      <c r="J28" s="41">
        <v>2</v>
      </c>
      <c r="K28" s="41">
        <v>3</v>
      </c>
      <c r="L28" s="20">
        <v>4</v>
      </c>
      <c r="M28" s="42">
        <f t="shared" si="3"/>
        <v>5.4054054054054057E-2</v>
      </c>
      <c r="N28" s="43">
        <f t="shared" si="4"/>
        <v>3.2520325203252036E-2</v>
      </c>
    </row>
    <row r="29" spans="1:15" s="18" customFormat="1" ht="20.100000000000001" customHeight="1" x14ac:dyDescent="0.25">
      <c r="A29" s="35" t="s">
        <v>148</v>
      </c>
      <c r="B29" s="36" t="s">
        <v>34</v>
      </c>
      <c r="C29" s="37" t="s">
        <v>149</v>
      </c>
      <c r="D29" s="37" t="s">
        <v>150</v>
      </c>
      <c r="E29" s="38" t="s">
        <v>151</v>
      </c>
      <c r="F29" s="158"/>
      <c r="G29" s="53"/>
      <c r="H29" s="33">
        <f t="shared" si="2"/>
        <v>4</v>
      </c>
      <c r="I29" s="41">
        <v>0</v>
      </c>
      <c r="J29" s="41">
        <v>2</v>
      </c>
      <c r="K29" s="41">
        <v>3</v>
      </c>
      <c r="L29" s="20">
        <v>4</v>
      </c>
      <c r="M29" s="42">
        <f t="shared" si="3"/>
        <v>5.4054054054054057E-2</v>
      </c>
      <c r="N29" s="43">
        <f t="shared" si="4"/>
        <v>3.2520325203252036E-2</v>
      </c>
    </row>
    <row r="30" spans="1:15" s="18" customFormat="1" ht="30" customHeight="1" x14ac:dyDescent="0.25">
      <c r="A30" s="35" t="s">
        <v>152</v>
      </c>
      <c r="B30" s="36" t="s">
        <v>34</v>
      </c>
      <c r="C30" s="37" t="s">
        <v>138</v>
      </c>
      <c r="D30" s="37" t="s">
        <v>153</v>
      </c>
      <c r="E30" s="52" t="s">
        <v>88</v>
      </c>
      <c r="F30" s="158"/>
      <c r="G30" s="53"/>
      <c r="H30" s="33">
        <f t="shared" si="2"/>
        <v>4</v>
      </c>
      <c r="I30" s="41">
        <v>1</v>
      </c>
      <c r="J30" s="41">
        <v>2</v>
      </c>
      <c r="K30" s="41">
        <v>3</v>
      </c>
      <c r="L30" s="20">
        <v>4</v>
      </c>
      <c r="M30" s="42">
        <f t="shared" si="3"/>
        <v>5.4054054054054057E-2</v>
      </c>
      <c r="N30" s="43">
        <f t="shared" si="4"/>
        <v>3.2520325203252036E-2</v>
      </c>
    </row>
    <row r="31" spans="1:15" s="18" customFormat="1" ht="30" customHeight="1" x14ac:dyDescent="0.25">
      <c r="A31" s="60" t="s">
        <v>154</v>
      </c>
      <c r="B31" s="36" t="s">
        <v>34</v>
      </c>
      <c r="C31" s="37" t="s">
        <v>155</v>
      </c>
      <c r="D31" s="37" t="s">
        <v>156</v>
      </c>
      <c r="E31" s="52" t="s">
        <v>157</v>
      </c>
      <c r="F31" s="158"/>
      <c r="G31" s="176" t="str">
        <f>IF(OR(F31="C",F31="D"),"Please consult the ACU Privacy Coordinator and IT information security team for advice.","")</f>
        <v/>
      </c>
      <c r="H31" s="33">
        <f t="shared" si="2"/>
        <v>6</v>
      </c>
      <c r="I31" s="41">
        <v>1</v>
      </c>
      <c r="J31" s="41">
        <v>3</v>
      </c>
      <c r="K31" s="41">
        <v>4</v>
      </c>
      <c r="L31" s="20">
        <v>6</v>
      </c>
      <c r="M31" s="42">
        <f t="shared" si="3"/>
        <v>8.1081081081081086E-2</v>
      </c>
      <c r="N31" s="43">
        <f t="shared" si="4"/>
        <v>4.878048780487805E-2</v>
      </c>
    </row>
    <row r="32" spans="1:15" s="18" customFormat="1" ht="20.100000000000001" customHeight="1" x14ac:dyDescent="0.25">
      <c r="A32" s="35" t="s">
        <v>158</v>
      </c>
      <c r="B32" s="36" t="s">
        <v>134</v>
      </c>
      <c r="C32" s="37" t="s">
        <v>135</v>
      </c>
      <c r="D32" s="37" t="s">
        <v>136</v>
      </c>
      <c r="E32" s="38" t="s">
        <v>34</v>
      </c>
      <c r="F32" s="158"/>
      <c r="G32" s="53" t="s">
        <v>593</v>
      </c>
      <c r="H32" s="33">
        <f t="shared" si="2"/>
        <v>4</v>
      </c>
      <c r="I32" s="41">
        <v>1</v>
      </c>
      <c r="J32" s="41">
        <v>2</v>
      </c>
      <c r="K32" s="41">
        <v>3</v>
      </c>
      <c r="L32" s="20">
        <v>4</v>
      </c>
      <c r="M32" s="42">
        <f t="shared" si="3"/>
        <v>5.4054054054054057E-2</v>
      </c>
      <c r="N32" s="43">
        <f t="shared" si="4"/>
        <v>3.2520325203252036E-2</v>
      </c>
    </row>
    <row r="33" spans="1:15" s="18" customFormat="1" ht="20.100000000000001" customHeight="1" x14ac:dyDescent="0.25">
      <c r="A33" s="35" t="s">
        <v>159</v>
      </c>
      <c r="B33" s="61">
        <v>0.9</v>
      </c>
      <c r="C33" s="62">
        <v>0.75</v>
      </c>
      <c r="D33" s="62">
        <v>0.5</v>
      </c>
      <c r="E33" s="63">
        <v>0.25</v>
      </c>
      <c r="F33" s="158"/>
      <c r="G33" s="53" t="s">
        <v>593</v>
      </c>
      <c r="H33" s="33">
        <f t="shared" si="2"/>
        <v>4</v>
      </c>
      <c r="I33" s="41">
        <v>1</v>
      </c>
      <c r="J33" s="41">
        <v>2</v>
      </c>
      <c r="K33" s="41">
        <v>3</v>
      </c>
      <c r="L33" s="20">
        <v>4</v>
      </c>
      <c r="M33" s="42">
        <f t="shared" si="3"/>
        <v>5.4054054054054057E-2</v>
      </c>
      <c r="N33" s="43">
        <f t="shared" si="4"/>
        <v>3.2520325203252036E-2</v>
      </c>
    </row>
    <row r="34" spans="1:15" s="18" customFormat="1" ht="20.100000000000001" customHeight="1" x14ac:dyDescent="0.25">
      <c r="A34" s="35" t="s">
        <v>160</v>
      </c>
      <c r="B34" s="36" t="s">
        <v>161</v>
      </c>
      <c r="C34" s="37" t="s">
        <v>162</v>
      </c>
      <c r="D34" s="37" t="s">
        <v>163</v>
      </c>
      <c r="E34" s="52" t="s">
        <v>164</v>
      </c>
      <c r="F34" s="158"/>
      <c r="G34" s="53" t="s">
        <v>593</v>
      </c>
      <c r="H34" s="33">
        <f t="shared" si="2"/>
        <v>8</v>
      </c>
      <c r="I34" s="41">
        <v>1</v>
      </c>
      <c r="J34" s="59">
        <v>2</v>
      </c>
      <c r="K34" s="59">
        <v>5</v>
      </c>
      <c r="L34" s="59">
        <v>8</v>
      </c>
      <c r="M34" s="42">
        <f t="shared" si="3"/>
        <v>0.10810810810810811</v>
      </c>
      <c r="N34" s="43">
        <f t="shared" si="4"/>
        <v>6.5040650406504072E-2</v>
      </c>
      <c r="O34" s="18" t="s">
        <v>145</v>
      </c>
    </row>
    <row r="35" spans="1:15" s="18" customFormat="1" ht="20.100000000000001" customHeight="1" x14ac:dyDescent="0.25">
      <c r="A35" s="35" t="s">
        <v>165</v>
      </c>
      <c r="B35" s="36" t="s">
        <v>166</v>
      </c>
      <c r="C35" s="37" t="s">
        <v>167</v>
      </c>
      <c r="D35" s="37" t="s">
        <v>168</v>
      </c>
      <c r="E35" s="52" t="s">
        <v>169</v>
      </c>
      <c r="F35" s="158"/>
      <c r="G35" s="53" t="s">
        <v>593</v>
      </c>
      <c r="H35" s="33">
        <f t="shared" si="2"/>
        <v>4</v>
      </c>
      <c r="I35" s="41">
        <v>1</v>
      </c>
      <c r="J35" s="41">
        <v>2</v>
      </c>
      <c r="K35" s="41">
        <v>3</v>
      </c>
      <c r="L35" s="20">
        <v>4</v>
      </c>
      <c r="M35" s="42">
        <f t="shared" si="3"/>
        <v>5.4054054054054057E-2</v>
      </c>
      <c r="N35" s="43">
        <f t="shared" si="4"/>
        <v>3.2520325203252036E-2</v>
      </c>
    </row>
    <row r="36" spans="1:15" s="18" customFormat="1" ht="20.100000000000001" customHeight="1" x14ac:dyDescent="0.25">
      <c r="A36" s="35" t="s">
        <v>170</v>
      </c>
      <c r="B36" s="36" t="s">
        <v>171</v>
      </c>
      <c r="C36" s="37" t="s">
        <v>172</v>
      </c>
      <c r="D36" s="37" t="s">
        <v>173</v>
      </c>
      <c r="E36" s="52" t="s">
        <v>166</v>
      </c>
      <c r="F36" s="158"/>
      <c r="G36" s="53" t="s">
        <v>593</v>
      </c>
      <c r="H36" s="33">
        <f t="shared" si="2"/>
        <v>4</v>
      </c>
      <c r="I36" s="41">
        <v>1</v>
      </c>
      <c r="J36" s="41">
        <v>2</v>
      </c>
      <c r="K36" s="41">
        <v>3</v>
      </c>
      <c r="L36" s="20">
        <v>4</v>
      </c>
      <c r="M36" s="42">
        <f t="shared" si="3"/>
        <v>5.4054054054054057E-2</v>
      </c>
      <c r="N36" s="43">
        <f t="shared" si="4"/>
        <v>3.2520325203252036E-2</v>
      </c>
    </row>
    <row r="37" spans="1:15" s="18" customFormat="1" ht="20.100000000000001" customHeight="1" x14ac:dyDescent="0.25">
      <c r="A37" s="35" t="s">
        <v>174</v>
      </c>
      <c r="B37" s="36" t="s">
        <v>96</v>
      </c>
      <c r="C37" s="37" t="s">
        <v>175</v>
      </c>
      <c r="D37" s="37" t="s">
        <v>176</v>
      </c>
      <c r="E37" s="52" t="s">
        <v>177</v>
      </c>
      <c r="F37" s="158"/>
      <c r="G37" s="53" t="s">
        <v>593</v>
      </c>
      <c r="H37" s="33">
        <f t="shared" si="2"/>
        <v>4</v>
      </c>
      <c r="I37" s="41">
        <v>1</v>
      </c>
      <c r="J37" s="41">
        <v>2</v>
      </c>
      <c r="K37" s="41">
        <v>3</v>
      </c>
      <c r="L37" s="20">
        <v>4</v>
      </c>
      <c r="M37" s="42">
        <f t="shared" si="3"/>
        <v>5.4054054054054057E-2</v>
      </c>
      <c r="N37" s="43">
        <f t="shared" si="4"/>
        <v>3.2520325203252036E-2</v>
      </c>
    </row>
    <row r="38" spans="1:15" s="18" customFormat="1" ht="20.100000000000001" customHeight="1" x14ac:dyDescent="0.25">
      <c r="A38" s="35" t="s">
        <v>178</v>
      </c>
      <c r="B38" s="36" t="s">
        <v>179</v>
      </c>
      <c r="C38" s="37" t="s">
        <v>180</v>
      </c>
      <c r="D38" s="37" t="s">
        <v>181</v>
      </c>
      <c r="E38" s="37" t="s">
        <v>182</v>
      </c>
      <c r="F38" s="159"/>
      <c r="G38" s="53" t="s">
        <v>593</v>
      </c>
      <c r="H38" s="33">
        <f t="shared" si="2"/>
        <v>4</v>
      </c>
      <c r="I38" s="41">
        <v>1</v>
      </c>
      <c r="J38" s="41">
        <v>2</v>
      </c>
      <c r="K38" s="41">
        <v>3</v>
      </c>
      <c r="L38" s="20">
        <v>4</v>
      </c>
      <c r="M38" s="42">
        <f t="shared" si="3"/>
        <v>5.4054054054054057E-2</v>
      </c>
      <c r="N38" s="43">
        <f t="shared" si="4"/>
        <v>3.2520325203252036E-2</v>
      </c>
    </row>
    <row r="39" spans="1:15" ht="20.100000000000001" customHeight="1" x14ac:dyDescent="0.2">
      <c r="F39" s="56" t="str" cm="1">
        <f t="array" ref="F39">IF(COUNTA(F23:F38)=COUNTA(A23:A38),_xlfn.IFS(H39&gt;=0.75,"Simple",H39&gt;=0.5,"Medium", TRUE,"Complex"),"")</f>
        <v/>
      </c>
      <c r="H39" s="51">
        <f>IF(COUNTA(F23:F38)&lt;16,1.15-'Early assessment'!H23,1.15-(SUM('Early assessment'!H22,H23:H38)/SUM('Early assessment'!L22,L23:L38)))</f>
        <v>0.14999999999999991</v>
      </c>
    </row>
  </sheetData>
  <conditionalFormatting sqref="B8">
    <cfRule type="expression" dxfId="39" priority="2">
      <formula>E8="B"</formula>
    </cfRule>
  </conditionalFormatting>
  <conditionalFormatting sqref="B9:B12">
    <cfRule type="expression" dxfId="38" priority="4">
      <formula>F9="A"</formula>
    </cfRule>
  </conditionalFormatting>
  <conditionalFormatting sqref="B16:B19">
    <cfRule type="expression" dxfId="37" priority="8">
      <formula>F16="A"</formula>
    </cfRule>
  </conditionalFormatting>
  <conditionalFormatting sqref="B23:B38">
    <cfRule type="expression" dxfId="36" priority="151">
      <formula>F23="A"</formula>
    </cfRule>
  </conditionalFormatting>
  <conditionalFormatting sqref="C8:C12">
    <cfRule type="expression" dxfId="35" priority="5">
      <formula>F8="B"</formula>
    </cfRule>
  </conditionalFormatting>
  <conditionalFormatting sqref="C16:C19">
    <cfRule type="expression" dxfId="34" priority="9">
      <formula>F16="B"</formula>
    </cfRule>
  </conditionalFormatting>
  <conditionalFormatting sqref="C23:C38">
    <cfRule type="expression" dxfId="33" priority="157">
      <formula>F23="B"</formula>
    </cfRule>
  </conditionalFormatting>
  <conditionalFormatting sqref="D8:D12">
    <cfRule type="expression" dxfId="32" priority="6">
      <formula>F8="C"</formula>
    </cfRule>
  </conditionalFormatting>
  <conditionalFormatting sqref="D16:D19">
    <cfRule type="expression" dxfId="31" priority="10">
      <formula>F16="C"</formula>
    </cfRule>
  </conditionalFormatting>
  <conditionalFormatting sqref="D23:D38">
    <cfRule type="expression" dxfId="30" priority="160">
      <formula>F23="C"</formula>
    </cfRule>
  </conditionalFormatting>
  <conditionalFormatting sqref="E8">
    <cfRule type="expression" dxfId="29" priority="1">
      <formula>G8="C"</formula>
    </cfRule>
  </conditionalFormatting>
  <conditionalFormatting sqref="E9:E12 E16:E19 E23:E38">
    <cfRule type="expression" dxfId="28" priority="162">
      <formula>F9="D"</formula>
    </cfRule>
  </conditionalFormatting>
  <conditionalFormatting sqref="E12">
    <cfRule type="expression" dxfId="27" priority="3">
      <formula>G12="C"</formula>
    </cfRule>
  </conditionalFormatting>
  <conditionalFormatting sqref="E19">
    <cfRule type="expression" dxfId="26" priority="7">
      <formula>G19="C"</formula>
    </cfRule>
  </conditionalFormatting>
  <conditionalFormatting sqref="E38">
    <cfRule type="expression" dxfId="25" priority="11">
      <formula>G38="C"</formula>
    </cfRule>
  </conditionalFormatting>
  <conditionalFormatting sqref="F20">
    <cfRule type="containsText" dxfId="24" priority="18" operator="containsText" text="Complex">
      <formula>NOT(ISERROR(SEARCH("Complex",F20)))</formula>
    </cfRule>
    <cfRule type="containsText" dxfId="23" priority="19" operator="containsText" text="Medium">
      <formula>NOT(ISERROR(SEARCH("Medium",F20)))</formula>
    </cfRule>
    <cfRule type="containsText" dxfId="22" priority="20" operator="containsText" text="Simple">
      <formula>NOT(ISERROR(SEARCH("Simple",F20)))</formula>
    </cfRule>
  </conditionalFormatting>
  <conditionalFormatting sqref="F39">
    <cfRule type="containsText" dxfId="21" priority="12" operator="containsText" text="Complex">
      <formula>NOT(ISERROR(SEARCH("Complex",F39)))</formula>
    </cfRule>
    <cfRule type="containsText" dxfId="20" priority="13" operator="containsText" text="Medium">
      <formula>NOT(ISERROR(SEARCH("Medium",F39)))</formula>
    </cfRule>
    <cfRule type="containsText" dxfId="19" priority="14" operator="containsText" text="Simple">
      <formula>NOT(ISERROR(SEARCH("Simple",F39)))</formula>
    </cfRule>
  </conditionalFormatting>
  <conditionalFormatting sqref="M8:M13">
    <cfRule type="colorScale" priority="172">
      <colorScale>
        <cfvo type="min"/>
        <cfvo type="percentile" val="50"/>
        <cfvo type="max"/>
        <color rgb="FFF8696B"/>
        <color rgb="FFFFEB84"/>
        <color rgb="FF63BE7B"/>
      </colorScale>
    </cfRule>
  </conditionalFormatting>
  <conditionalFormatting sqref="M16:M20">
    <cfRule type="colorScale" priority="173">
      <colorScale>
        <cfvo type="min"/>
        <cfvo type="percentile" val="50"/>
        <cfvo type="max"/>
        <color rgb="FFF8696B"/>
        <color rgb="FFFFEB84"/>
        <color rgb="FF63BE7B"/>
      </colorScale>
    </cfRule>
  </conditionalFormatting>
  <conditionalFormatting sqref="M23:M38">
    <cfRule type="colorScale" priority="169">
      <colorScale>
        <cfvo type="min"/>
        <cfvo type="percentile" val="50"/>
        <cfvo type="max"/>
        <color rgb="FFF8696B"/>
        <color rgb="FFFFEB84"/>
        <color rgb="FF63BE7B"/>
      </colorScale>
    </cfRule>
  </conditionalFormatting>
  <conditionalFormatting sqref="N8:N12 N16:N19 N23:N38">
    <cfRule type="colorScale" priority="171">
      <colorScale>
        <cfvo type="min"/>
        <cfvo type="percentile" val="50"/>
        <cfvo type="max"/>
        <color rgb="FFF8696B"/>
        <color rgb="FFFFEB84"/>
        <color rgb="FF63BE7B"/>
      </colorScale>
    </cfRule>
  </conditionalFormatting>
  <dataValidations count="1">
    <dataValidation type="list" allowBlank="1" showDropDown="1" showInputMessage="1" showErrorMessage="1" errorTitle="Please check input" error="Please enter A, B, C or D." sqref="F8:F12 F16:F19 F23:F38" xr:uid="{C27CA563-E80D-40A7-99A5-043C2F18015E}">
      <formula1>"A,B,C,D,a,b,c,d"</formula1>
    </dataValidation>
  </dataValidations>
  <printOptions horizontalCentered="1"/>
  <pageMargins left="0.70866141732283472" right="0.70866141732283472" top="0.74803149606299213" bottom="0.74803149606299213" header="0.31496062992125984" footer="0.31496062992125984"/>
  <pageSetup paperSize="9" scale="58" fitToWidth="2" orientation="landscape" horizontalDpi="300" verticalDpi="300" r:id="rId1"/>
  <colBreaks count="1" manualBreakCount="1">
    <brk id="7" max="5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F963-8B83-48FA-8796-F3FD17CE2295}">
  <sheetPr>
    <tabColor theme="5" tint="0.79998168889431442"/>
  </sheetPr>
  <dimension ref="A1:P38"/>
  <sheetViews>
    <sheetView zoomScaleNormal="100" workbookViewId="0"/>
  </sheetViews>
  <sheetFormatPr defaultRowHeight="14.25" x14ac:dyDescent="0.25"/>
  <cols>
    <col min="1" max="1" width="2.7109375" style="18" customWidth="1"/>
    <col min="2" max="4" width="13.7109375" style="18" customWidth="1"/>
    <col min="5" max="5" width="6.7109375" style="18" customWidth="1"/>
    <col min="6" max="6" width="15.7109375" style="18" customWidth="1"/>
    <col min="7" max="8" width="13.7109375" style="18" customWidth="1"/>
    <col min="9" max="10" width="12.7109375" style="18" customWidth="1"/>
    <col min="11" max="11" width="65.7109375" style="18" customWidth="1"/>
    <col min="12" max="12" width="8.7109375" style="18" customWidth="1"/>
    <col min="13" max="13" width="50.7109375" style="18" customWidth="1"/>
    <col min="14" max="16" width="8.7109375" style="18" customWidth="1"/>
    <col min="17" max="17" width="1.7109375" style="18" customWidth="1"/>
    <col min="18" max="16384" width="9.140625" style="18"/>
  </cols>
  <sheetData>
    <row r="1" spans="1:13" ht="20.25" x14ac:dyDescent="0.3">
      <c r="A1" s="147"/>
      <c r="B1" s="147"/>
      <c r="C1" s="147"/>
      <c r="D1" s="147"/>
      <c r="E1" s="147"/>
      <c r="F1" s="24" t="s">
        <v>19</v>
      </c>
      <c r="G1" s="148"/>
      <c r="H1" s="148"/>
      <c r="I1" s="147"/>
      <c r="J1" s="147"/>
      <c r="K1" s="148" t="s">
        <v>540</v>
      </c>
    </row>
    <row r="2" spans="1:13" x14ac:dyDescent="0.2">
      <c r="A2" s="137"/>
      <c r="B2" s="137"/>
      <c r="C2" s="137"/>
      <c r="D2" s="137"/>
      <c r="E2" s="137"/>
      <c r="F2" s="29" t="str">
        <f>Pr_name</f>
        <v>&lt;Project name&gt;</v>
      </c>
      <c r="G2" s="138"/>
      <c r="H2" s="138"/>
      <c r="I2" s="137"/>
      <c r="J2" s="137"/>
      <c r="K2" s="138" t="s">
        <v>541</v>
      </c>
    </row>
    <row r="3" spans="1:13" x14ac:dyDescent="0.25">
      <c r="A3" s="137"/>
      <c r="B3" s="137"/>
      <c r="C3" s="137"/>
      <c r="D3" s="137"/>
      <c r="E3" s="137"/>
      <c r="F3" s="137"/>
      <c r="G3" s="137"/>
      <c r="H3" s="138"/>
      <c r="I3" s="137"/>
      <c r="J3" s="137"/>
      <c r="K3" s="137"/>
    </row>
    <row r="4" spans="1:13" x14ac:dyDescent="0.25">
      <c r="I4" s="20"/>
    </row>
    <row r="5" spans="1:13" ht="15" x14ac:dyDescent="0.25">
      <c r="B5" s="156"/>
      <c r="C5" s="156"/>
      <c r="D5" s="156"/>
      <c r="E5" s="156"/>
      <c r="F5" s="156"/>
      <c r="G5" s="156"/>
      <c r="H5" s="156"/>
      <c r="I5" s="156"/>
      <c r="J5" s="156"/>
      <c r="K5" s="156"/>
    </row>
    <row r="6" spans="1:13" ht="15" x14ac:dyDescent="0.25">
      <c r="B6" s="198" t="s">
        <v>566</v>
      </c>
      <c r="C6" s="199"/>
      <c r="D6" s="199"/>
      <c r="E6" s="154"/>
      <c r="F6" s="155">
        <f>B37</f>
        <v>1</v>
      </c>
      <c r="G6" s="192"/>
      <c r="H6" s="193"/>
      <c r="I6" s="193"/>
      <c r="J6" s="193"/>
      <c r="K6" s="194"/>
      <c r="M6" s="137" t="s">
        <v>567</v>
      </c>
    </row>
    <row r="7" spans="1:13" ht="15" x14ac:dyDescent="0.25">
      <c r="B7" s="200" t="s">
        <v>33</v>
      </c>
      <c r="C7" s="201"/>
      <c r="D7" s="202"/>
      <c r="E7" s="151"/>
      <c r="F7" s="151" t="e" cm="1">
        <f t="array" ref="F7">_xlfn.IFS('Early assessment'!F8="a",'Early assessment'!B8,'Early assessment'!F8="b",'Early assessment'!C8,'Early assessment'!F8="c",'Early assessment'!D8,'Early assessment'!F8="d",'Early assessment'!E8)</f>
        <v>#N/A</v>
      </c>
      <c r="G7" s="195" t="e">
        <f>VLOOKUP('Early assessment'!F8,Lookups!A$41:F$44,2,FALSE)</f>
        <v>#N/A</v>
      </c>
      <c r="H7" s="196"/>
      <c r="I7" s="196"/>
      <c r="J7" s="196"/>
      <c r="K7" s="197"/>
      <c r="M7" s="137" t="s">
        <v>568</v>
      </c>
    </row>
    <row r="8" spans="1:13" ht="15" x14ac:dyDescent="0.25">
      <c r="B8" s="200" t="s">
        <v>37</v>
      </c>
      <c r="C8" s="201"/>
      <c r="D8" s="202"/>
      <c r="E8" s="151"/>
      <c r="F8" s="151" t="e" cm="1">
        <f t="array" ref="F8">_xlfn.IFS('Early assessment'!F9="a",'Early assessment'!B9,'Early assessment'!F9="b",'Early assessment'!C9,'Early assessment'!F9="c",'Early assessment'!D9,'Early assessment'!F9="d",'Early assessment'!E9)</f>
        <v>#N/A</v>
      </c>
      <c r="G8" s="195" t="e">
        <f>VLOOKUP('Early assessment'!F9,Lookups!A$41:F$44,3,FALSE)</f>
        <v>#N/A</v>
      </c>
      <c r="H8" s="196"/>
      <c r="I8" s="196"/>
      <c r="J8" s="196"/>
      <c r="K8" s="197"/>
    </row>
    <row r="9" spans="1:13" ht="15" x14ac:dyDescent="0.25">
      <c r="B9" s="200" t="s">
        <v>42</v>
      </c>
      <c r="C9" s="201"/>
      <c r="D9" s="202"/>
      <c r="E9" s="151"/>
      <c r="F9" s="151" t="e" cm="1">
        <f t="array" ref="F9">_xlfn.IFS('Early assessment'!F10="a",'Early assessment'!B10,'Early assessment'!F10="b",'Early assessment'!C10,'Early assessment'!F10="c",'Early assessment'!D10,'Early assessment'!F10="d",'Early assessment'!E10)</f>
        <v>#N/A</v>
      </c>
      <c r="G9" s="195" t="e">
        <f>VLOOKUP('Early assessment'!F10,Lookups!A$41:F$44,4,FALSE)</f>
        <v>#N/A</v>
      </c>
      <c r="H9" s="196"/>
      <c r="I9" s="196"/>
      <c r="J9" s="196"/>
      <c r="K9" s="197"/>
    </row>
    <row r="10" spans="1:13" ht="15" x14ac:dyDescent="0.25">
      <c r="B10" s="200" t="s">
        <v>43</v>
      </c>
      <c r="C10" s="201"/>
      <c r="D10" s="202"/>
      <c r="E10" s="151"/>
      <c r="F10" s="151" t="e" cm="1">
        <f t="array" ref="F10">_xlfn.IFS('Early assessment'!F11="a",'Early assessment'!B11,'Early assessment'!F11="b",'Early assessment'!C11,'Early assessment'!F11="c",'Early assessment'!D11,'Early assessment'!F11="d",'Early assessment'!E11)</f>
        <v>#N/A</v>
      </c>
      <c r="G10" s="195" t="e">
        <f>VLOOKUP('Early assessment'!F11,Lookups!A$41:F$44,5,FALSE)</f>
        <v>#N/A</v>
      </c>
      <c r="H10" s="196"/>
      <c r="I10" s="196"/>
      <c r="J10" s="196"/>
      <c r="K10" s="197"/>
    </row>
    <row r="11" spans="1:13" ht="15" x14ac:dyDescent="0.25">
      <c r="B11" s="200" t="s">
        <v>47</v>
      </c>
      <c r="C11" s="201"/>
      <c r="D11" s="202"/>
      <c r="E11" s="151"/>
      <c r="F11" s="152" t="e" cm="1">
        <f t="array" ref="F11">_xlfn.IFS('Early assessment'!F12="a",'Early assessment'!B12,'Early assessment'!F12="b",'Early assessment'!C12,'Early assessment'!F12="c",'Early assessment'!D12,'Early assessment'!F12="d",'Early assessment'!E12)</f>
        <v>#N/A</v>
      </c>
      <c r="G11" s="204" t="e">
        <f>VLOOKUP('Early assessment'!F12,Lookups!A$41:F$44,6,FALSE)</f>
        <v>#N/A</v>
      </c>
      <c r="H11" s="205"/>
      <c r="I11" s="205"/>
      <c r="J11" s="205"/>
      <c r="K11" s="206"/>
    </row>
    <row r="12" spans="1:13" ht="15" x14ac:dyDescent="0.25">
      <c r="B12" s="210" t="s">
        <v>545</v>
      </c>
      <c r="C12" s="201"/>
      <c r="D12" s="201"/>
      <c r="E12" s="146" t="s">
        <v>30</v>
      </c>
      <c r="F12" s="146" t="s">
        <v>565</v>
      </c>
      <c r="G12" s="207"/>
      <c r="H12" s="208"/>
      <c r="I12" s="209"/>
      <c r="J12" s="209"/>
      <c r="K12" s="209"/>
    </row>
    <row r="13" spans="1:13" ht="15" x14ac:dyDescent="0.25">
      <c r="B13" s="211" t="s">
        <v>543</v>
      </c>
      <c r="C13" s="201"/>
      <c r="D13" s="201"/>
      <c r="E13" s="153">
        <f>D37</f>
        <v>0.15379999999999994</v>
      </c>
      <c r="F13" s="32" t="str" cm="1">
        <f t="array" ref="F13">_xlfn.IFS(Attractiveness="","",Attractiveness&gt;=75%,"Simple",AND(Attractiveness&lt;75%,Attractiveness&gt;=50%),"Medium",Attractiveness&lt;50%,"Complex")</f>
        <v>Complex</v>
      </c>
      <c r="I13" s="203"/>
      <c r="J13" s="201"/>
      <c r="K13" s="201"/>
      <c r="M13" s="137" t="s">
        <v>564</v>
      </c>
    </row>
    <row r="14" spans="1:13" ht="15" x14ac:dyDescent="0.25">
      <c r="B14" s="211" t="s">
        <v>544</v>
      </c>
      <c r="C14" s="201"/>
      <c r="D14" s="201"/>
      <c r="E14" s="153">
        <f>H37</f>
        <v>0.14999999999999991</v>
      </c>
      <c r="F14" s="32" t="str" cm="1">
        <f t="array" ref="F14">_xlfn.IFS(Achievability="","",Achievability&gt;=75%,"Simple",AND(Achievability&lt;75%,Achievability&gt;=50%),"Medium",Achievability&lt;50%,"Complex")</f>
        <v>Complex</v>
      </c>
      <c r="I14" s="203"/>
      <c r="J14" s="201"/>
      <c r="K14" s="201"/>
      <c r="M14" s="137" t="s">
        <v>542</v>
      </c>
    </row>
    <row r="15" spans="1:13" x14ac:dyDescent="0.25">
      <c r="I15" s="20"/>
    </row>
    <row r="18" spans="9:16" x14ac:dyDescent="0.25">
      <c r="I18" s="20"/>
      <c r="N18" s="145"/>
      <c r="O18" s="145"/>
      <c r="P18" s="145"/>
    </row>
    <row r="19" spans="9:16" x14ac:dyDescent="0.25">
      <c r="I19" s="20"/>
    </row>
    <row r="20" spans="9:16" x14ac:dyDescent="0.25">
      <c r="I20" s="20"/>
      <c r="O20" s="145"/>
      <c r="P20" s="145"/>
    </row>
    <row r="21" spans="9:16" x14ac:dyDescent="0.25">
      <c r="I21" s="20"/>
      <c r="O21" s="145"/>
      <c r="P21" s="145"/>
    </row>
    <row r="22" spans="9:16" x14ac:dyDescent="0.25">
      <c r="I22" s="20"/>
    </row>
    <row r="23" spans="9:16" x14ac:dyDescent="0.25">
      <c r="I23" s="20"/>
      <c r="P23" s="145"/>
    </row>
    <row r="24" spans="9:16" x14ac:dyDescent="0.25">
      <c r="I24" s="20"/>
      <c r="P24" s="145"/>
    </row>
    <row r="25" spans="9:16" x14ac:dyDescent="0.25">
      <c r="I25" s="20"/>
      <c r="P25" s="145"/>
    </row>
    <row r="26" spans="9:16" x14ac:dyDescent="0.25">
      <c r="I26" s="20"/>
    </row>
    <row r="27" spans="9:16" x14ac:dyDescent="0.25">
      <c r="I27" s="20"/>
      <c r="P27" s="145"/>
    </row>
    <row r="28" spans="9:16" x14ac:dyDescent="0.25">
      <c r="I28" s="20"/>
      <c r="P28" s="145"/>
    </row>
    <row r="29" spans="9:16" x14ac:dyDescent="0.25">
      <c r="I29" s="20"/>
    </row>
    <row r="30" spans="9:16" x14ac:dyDescent="0.25">
      <c r="I30" s="20"/>
    </row>
    <row r="31" spans="9:16" x14ac:dyDescent="0.25">
      <c r="I31" s="20"/>
    </row>
    <row r="32" spans="9:16" x14ac:dyDescent="0.25">
      <c r="I32" s="20"/>
    </row>
    <row r="33" spans="1:11" x14ac:dyDescent="0.25">
      <c r="I33" s="20"/>
    </row>
    <row r="34" spans="1:11" x14ac:dyDescent="0.25">
      <c r="I34" s="20"/>
    </row>
    <row r="35" spans="1:11" x14ac:dyDescent="0.25">
      <c r="I35" s="20"/>
    </row>
    <row r="36" spans="1:11" ht="0.95" customHeight="1" x14ac:dyDescent="0.25">
      <c r="A36" s="139"/>
      <c r="B36" s="139" t="s">
        <v>183</v>
      </c>
      <c r="C36" s="139" t="s">
        <v>184</v>
      </c>
      <c r="D36" s="139" t="s">
        <v>185</v>
      </c>
      <c r="E36" s="139"/>
      <c r="F36" s="139" t="s">
        <v>186</v>
      </c>
      <c r="G36" s="139" t="s">
        <v>187</v>
      </c>
      <c r="H36" s="31" t="s">
        <v>188</v>
      </c>
      <c r="I36" s="31" t="s">
        <v>189</v>
      </c>
      <c r="J36" s="140" t="s">
        <v>30</v>
      </c>
      <c r="K36" s="141" t="s">
        <v>29</v>
      </c>
    </row>
    <row r="37" spans="1:11" ht="15" hidden="1" x14ac:dyDescent="0.25">
      <c r="B37" s="42">
        <f>'Full assessment'!H13</f>
        <v>1</v>
      </c>
      <c r="C37" s="142" t="e">
        <f>'Full assessment'!#REF!/1000000</f>
        <v>#REF!</v>
      </c>
      <c r="D37" s="42">
        <f>'Full assessment'!H20</f>
        <v>0.15379999999999994</v>
      </c>
      <c r="E37" s="42"/>
      <c r="F37" s="142" t="e">
        <f>'Full assessment'!#REF!/1000000</f>
        <v>#REF!</v>
      </c>
      <c r="G37" s="42">
        <f>1/'Early assessment'!H22</f>
        <v>0.16666666666666666</v>
      </c>
      <c r="H37" s="42">
        <f>'Full assessment'!H39</f>
        <v>0.14999999999999991</v>
      </c>
      <c r="I37" s="143" t="e">
        <f>'Full assessment'!#REF!/'Full assessment'!#REF!</f>
        <v>#REF!</v>
      </c>
      <c r="J37" s="144" t="e" cm="1">
        <f t="array" ref="J37">_xlfn.IFS(SUM(Lookups!C12:E12,Lookups!G12:I12)-Lookups!F12&lt;0,0,SUM(Lookups!C12:E12,Lookups!G12:I12)-Lookups!F12&gt;1,1,TRUE,SUM(Lookups!C12:E12,Lookups!G12:I12)-Lookups!F12)</f>
        <v>#REF!</v>
      </c>
    </row>
    <row r="38" spans="1:11" x14ac:dyDescent="0.25">
      <c r="I38" s="20"/>
    </row>
  </sheetData>
  <mergeCells count="18">
    <mergeCell ref="B9:D9"/>
    <mergeCell ref="B10:D10"/>
    <mergeCell ref="I13:K13"/>
    <mergeCell ref="I14:K14"/>
    <mergeCell ref="G8:K8"/>
    <mergeCell ref="G9:K9"/>
    <mergeCell ref="G10:K10"/>
    <mergeCell ref="G11:K11"/>
    <mergeCell ref="G12:K12"/>
    <mergeCell ref="B11:D11"/>
    <mergeCell ref="B12:D12"/>
    <mergeCell ref="B13:D13"/>
    <mergeCell ref="B14:D14"/>
    <mergeCell ref="G6:K6"/>
    <mergeCell ref="G7:K7"/>
    <mergeCell ref="B6:D6"/>
    <mergeCell ref="B7:D7"/>
    <mergeCell ref="B8:D8"/>
  </mergeCells>
  <conditionalFormatting sqref="E13:E14">
    <cfRule type="cellIs" dxfId="14" priority="25" operator="greaterThanOrEqual">
      <formula>0.75</formula>
    </cfRule>
    <cfRule type="cellIs" dxfId="13" priority="26" operator="between">
      <formula>0.5</formula>
      <formula>0.75</formula>
    </cfRule>
    <cfRule type="cellIs" dxfId="12" priority="27" operator="between">
      <formula>0.35</formula>
      <formula>0.5</formula>
    </cfRule>
    <cfRule type="cellIs" dxfId="11" priority="28" operator="lessThanOrEqual">
      <formula>0.35</formula>
    </cfRule>
  </conditionalFormatting>
  <conditionalFormatting sqref="F6">
    <cfRule type="cellIs" dxfId="10" priority="29" operator="greaterThanOrEqual">
      <formula>0.7</formula>
    </cfRule>
    <cfRule type="cellIs" dxfId="9" priority="30" operator="between">
      <formula>0.55</formula>
      <formula>0.7</formula>
    </cfRule>
    <cfRule type="cellIs" dxfId="8" priority="31" operator="between">
      <formula>0.4</formula>
      <formula>0.55</formula>
    </cfRule>
    <cfRule type="cellIs" dxfId="7" priority="32" operator="lessThanOrEqual">
      <formula>0.4</formula>
    </cfRule>
  </conditionalFormatting>
  <conditionalFormatting sqref="F13:F14">
    <cfRule type="containsText" dxfId="6" priority="33" operator="containsText" text="Simple">
      <formula>NOT(ISERROR(SEARCH("Simple",F13)))</formula>
    </cfRule>
    <cfRule type="containsText" dxfId="5" priority="34" operator="containsText" text="Medium">
      <formula>NOT(ISERROR(SEARCH("Medium",F13)))</formula>
    </cfRule>
    <cfRule type="containsText" dxfId="4" priority="35" operator="containsText" text="Complex">
      <formula>NOT(ISERROR(SEARCH("Complex",F13)))</formula>
    </cfRule>
  </conditionalFormatting>
  <conditionalFormatting sqref="J37">
    <cfRule type="cellIs" dxfId="3" priority="45" operator="greaterThanOrEqual">
      <formula>0.7</formula>
    </cfRule>
    <cfRule type="cellIs" dxfId="2" priority="47" operator="between">
      <formula>0.55</formula>
      <formula>0.7</formula>
    </cfRule>
    <cfRule type="cellIs" dxfId="1" priority="48" operator="between">
      <formula>0.4</formula>
      <formula>0.55</formula>
    </cfRule>
    <cfRule type="cellIs" dxfId="0" priority="49" operator="lessThanOrEqual">
      <formula>0.4</formula>
    </cfRule>
  </conditionalFormatting>
  <printOptions horizontalCentered="1"/>
  <pageMargins left="0.70866141732283472" right="0.70866141732283472" top="0.74803149606299213" bottom="0.74803149606299213" header="0.31496062992125984" footer="0.31496062992125984"/>
  <pageSetup paperSize="9" scale="80" orientation="landscape" horizontalDpi="300" verticalDpi="300" r:id="rId1"/>
  <colBreaks count="1" manualBreakCount="1">
    <brk id="17" max="1048575" man="1"/>
  </colBreaks>
  <drawing r:id="rId2"/>
  <extLst>
    <ext xmlns:x14="http://schemas.microsoft.com/office/spreadsheetml/2009/9/main" uri="{78C0D931-6437-407d-A8EE-F0AAD7539E65}">
      <x14:conditionalFormattings>
        <x14:conditionalFormatting xmlns:xm="http://schemas.microsoft.com/office/excel/2006/main">
          <x14:cfRule type="expression" priority="17" id="{F7D7CA43-63BB-445E-885C-63C3AAB52F02}">
            <xm:f>F7='Early assessment'!$E8</xm:f>
            <x14:dxf>
              <fill>
                <gradientFill>
                  <stop position="0">
                    <color theme="0"/>
                  </stop>
                  <stop position="1">
                    <color theme="9"/>
                  </stop>
                </gradientFill>
              </fill>
            </x14:dxf>
          </x14:cfRule>
          <x14:cfRule type="expression" priority="18" id="{D14C715B-8CDB-48D8-85D2-D17C6F59FDAB}">
            <xm:f>F7='Early assessment'!$D8</xm:f>
            <x14:dxf>
              <fill>
                <gradientFill>
                  <stop position="0">
                    <color theme="0"/>
                  </stop>
                  <stop position="0.5">
                    <color theme="9" tint="0.40000610370189521"/>
                  </stop>
                  <stop position="1">
                    <color theme="0"/>
                  </stop>
                </gradientFill>
              </fill>
            </x14:dxf>
          </x14:cfRule>
          <x14:cfRule type="expression" priority="19" id="{D7F7790D-3345-458A-B89D-AFB07A405FC6}">
            <xm:f>F7='Early assessment'!$C8</xm:f>
            <x14:dxf>
              <fill>
                <gradientFill>
                  <stop position="0">
                    <color theme="0"/>
                  </stop>
                  <stop position="0.5">
                    <color theme="7" tint="0.40000610370189521"/>
                  </stop>
                  <stop position="1">
                    <color theme="0"/>
                  </stop>
                </gradientFill>
              </fill>
            </x14:dxf>
          </x14:cfRule>
          <x14:cfRule type="expression" priority="20" id="{DB401822-D385-4B63-B120-EEC81BA80037}">
            <xm:f>F7='Early assessment'!$B8</xm:f>
            <x14:dxf>
              <fill>
                <gradientFill degree="180">
                  <stop position="0">
                    <color theme="0"/>
                  </stop>
                  <stop position="1">
                    <color theme="5"/>
                  </stop>
                </gradientFill>
              </fill>
            </x14:dxf>
          </x14:cfRule>
          <xm:sqref>E7:E11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DB47A-B833-42D4-9B46-FD05930D7C96}">
  <dimension ref="A2:D36"/>
  <sheetViews>
    <sheetView workbookViewId="0"/>
  </sheetViews>
  <sheetFormatPr defaultRowHeight="15" x14ac:dyDescent="0.25"/>
  <cols>
    <col min="1" max="1" width="48.7109375" customWidth="1"/>
    <col min="2" max="3" width="12.7109375" customWidth="1"/>
    <col min="4" max="4" width="48.7109375" customWidth="1"/>
  </cols>
  <sheetData>
    <row r="2" spans="1:4" x14ac:dyDescent="0.25">
      <c r="A2" s="212"/>
      <c r="B2" s="212"/>
      <c r="C2" s="213" t="s">
        <v>609</v>
      </c>
      <c r="D2" s="212"/>
    </row>
    <row r="5" spans="1:4" ht="24.95" customHeight="1" x14ac:dyDescent="0.25">
      <c r="B5" s="166"/>
      <c r="C5" s="184" t="str">
        <f>Pr_name</f>
        <v>&lt;Project name&gt;</v>
      </c>
    </row>
    <row r="6" spans="1:4" x14ac:dyDescent="0.25">
      <c r="A6" s="167" t="s">
        <v>587</v>
      </c>
      <c r="B6" s="172"/>
      <c r="C6" s="172" t="s">
        <v>588</v>
      </c>
      <c r="D6" s="172" t="s">
        <v>29</v>
      </c>
    </row>
    <row r="7" spans="1:4" x14ac:dyDescent="0.25">
      <c r="A7" t="s">
        <v>33</v>
      </c>
      <c r="B7" s="179"/>
      <c r="C7" s="175" t="str">
        <f>IF('Early assessment'!F8&lt;&gt;"",'Early assessment'!H8,"")</f>
        <v/>
      </c>
    </row>
    <row r="8" spans="1:4" x14ac:dyDescent="0.25">
      <c r="A8" t="s">
        <v>43</v>
      </c>
      <c r="B8" s="179"/>
      <c r="C8" s="175" t="str">
        <f>IF('Early assessment'!F9&lt;&gt;"",'Early assessment'!H9,"")</f>
        <v/>
      </c>
    </row>
    <row r="9" spans="1:4" x14ac:dyDescent="0.25">
      <c r="A9" t="s">
        <v>585</v>
      </c>
      <c r="B9" s="179"/>
      <c r="C9" s="175" t="str">
        <f>IF('Full assessment'!F8&lt;&gt;"",'Full assessment'!H8,"")</f>
        <v/>
      </c>
    </row>
    <row r="10" spans="1:4" x14ac:dyDescent="0.25">
      <c r="B10" s="179"/>
      <c r="C10" s="170">
        <f>SUM(C7:C9)</f>
        <v>0</v>
      </c>
    </row>
    <row r="11" spans="1:4" x14ac:dyDescent="0.25">
      <c r="A11" s="168" t="s">
        <v>586</v>
      </c>
      <c r="B11" s="173"/>
      <c r="C11" s="173" t="s">
        <v>588</v>
      </c>
      <c r="D11" s="173" t="s">
        <v>29</v>
      </c>
    </row>
    <row r="12" spans="1:4" x14ac:dyDescent="0.25">
      <c r="A12" t="s">
        <v>577</v>
      </c>
      <c r="B12" s="179"/>
      <c r="C12" s="175" t="str" cm="1">
        <f t="array" ref="C12">_xlfn.IFS('Early assessment'!F13="A",2,'Early assessment'!F13="B",1,'Early assessment'!F13="C",0,'Early assessment'!F13="D",0,TRUE,"")</f>
        <v/>
      </c>
    </row>
    <row r="13" spans="1:4" x14ac:dyDescent="0.25">
      <c r="A13" t="s">
        <v>37</v>
      </c>
      <c r="B13" s="179"/>
      <c r="C13" s="175" t="str" cm="1">
        <f t="array" ref="C13">_xlfn.IFS('Early assessment'!F9="A",2,'Early assessment'!F9="B",1,'Early assessment'!F9="C",0,'Early assessment'!F9="D",0,TRUE,"")</f>
        <v/>
      </c>
    </row>
    <row r="14" spans="1:4" x14ac:dyDescent="0.25">
      <c r="A14" t="s">
        <v>42</v>
      </c>
      <c r="B14" s="179"/>
      <c r="C14" s="175" t="str" cm="1">
        <f t="array" ref="C14">_xlfn.IFS('Early assessment'!F10="A",2,'Early assessment'!F10="B",1,'Early assessment'!F10="C",0,'Early assessment'!F10="D",0,TRUE,"")</f>
        <v/>
      </c>
    </row>
    <row r="15" spans="1:4" x14ac:dyDescent="0.25">
      <c r="A15" t="s">
        <v>47</v>
      </c>
      <c r="B15" s="179"/>
      <c r="C15" s="175" t="str" cm="1">
        <f t="array" ref="C15">_xlfn.IFS('Early assessment'!F12="A",2,'Early assessment'!F12="B",1,'Early assessment'!F12="C",0,'Early assessment'!F12="D",0,TRUE,"")</f>
        <v/>
      </c>
    </row>
    <row r="16" spans="1:4" x14ac:dyDescent="0.25">
      <c r="B16" s="179"/>
      <c r="C16" s="171">
        <f>SUM(C12:C15)</f>
        <v>0</v>
      </c>
    </row>
    <row r="17" spans="1:4" x14ac:dyDescent="0.25">
      <c r="A17" s="183" t="s">
        <v>592</v>
      </c>
      <c r="B17" s="165"/>
      <c r="C17" s="169">
        <f>C10+C16</f>
        <v>0</v>
      </c>
      <c r="D17" s="165"/>
    </row>
    <row r="18" spans="1:4" x14ac:dyDescent="0.25">
      <c r="A18" s="174"/>
    </row>
    <row r="19" spans="1:4" x14ac:dyDescent="0.25">
      <c r="A19" s="181" t="s">
        <v>594</v>
      </c>
      <c r="B19" s="179"/>
      <c r="C19" s="179" t="str" cm="1">
        <f t="array" ref="C19">_xlfn.IFS(C7=9,"Fund (compliance)",C10&gt;=15,"Fund (financial gain)",C10&gt;=9,"Strengthen the case",C7=6,"Consider (strategic)",TRUE,"Please defer to later")</f>
        <v>Please defer to later</v>
      </c>
      <c r="D19" s="179"/>
    </row>
    <row r="22" spans="1:4" x14ac:dyDescent="0.25">
      <c r="A22" s="182" t="s">
        <v>595</v>
      </c>
      <c r="B22" s="179"/>
      <c r="C22" s="179"/>
      <c r="D22" s="179"/>
    </row>
    <row r="23" spans="1:4" x14ac:dyDescent="0.25">
      <c r="A23" s="178" t="s">
        <v>600</v>
      </c>
      <c r="B23" s="180"/>
      <c r="C23" s="185"/>
      <c r="D23" s="169" t="s">
        <v>29</v>
      </c>
    </row>
    <row r="24" spans="1:4" x14ac:dyDescent="0.25">
      <c r="A24" s="179" t="s">
        <v>606</v>
      </c>
      <c r="B24" s="177"/>
      <c r="C24" s="187">
        <v>0</v>
      </c>
    </row>
    <row r="25" spans="1:4" x14ac:dyDescent="0.25">
      <c r="A25" s="179" t="s">
        <v>607</v>
      </c>
      <c r="B25" s="177"/>
      <c r="C25" s="188">
        <v>0</v>
      </c>
    </row>
    <row r="26" spans="1:4" x14ac:dyDescent="0.25">
      <c r="A26" s="179" t="s">
        <v>601</v>
      </c>
      <c r="B26" s="177">
        <v>0.4</v>
      </c>
      <c r="C26" s="186" t="e">
        <f>IF(C24/C25&lt;10,(C24-C25)/C25/10,1)</f>
        <v>#DIV/0!</v>
      </c>
    </row>
    <row r="27" spans="1:4" x14ac:dyDescent="0.25">
      <c r="A27" s="178" t="s">
        <v>608</v>
      </c>
      <c r="B27" s="169" t="s">
        <v>596</v>
      </c>
      <c r="C27" s="169" t="s">
        <v>540</v>
      </c>
      <c r="D27" s="169" t="s">
        <v>29</v>
      </c>
    </row>
    <row r="28" spans="1:4" x14ac:dyDescent="0.25">
      <c r="A28" s="179" t="s">
        <v>597</v>
      </c>
      <c r="B28" s="177">
        <v>0.4</v>
      </c>
      <c r="C28" s="177">
        <f>Results!F6</f>
        <v>1</v>
      </c>
    </row>
    <row r="29" spans="1:4" x14ac:dyDescent="0.25">
      <c r="A29" s="179" t="s">
        <v>598</v>
      </c>
      <c r="B29" s="177">
        <v>0.1</v>
      </c>
      <c r="C29" s="177">
        <f>Attractiveness</f>
        <v>0.15379999999999994</v>
      </c>
    </row>
    <row r="30" spans="1:4" x14ac:dyDescent="0.25">
      <c r="A30" s="179" t="s">
        <v>599</v>
      </c>
      <c r="B30" s="177">
        <v>0.1</v>
      </c>
      <c r="C30" s="177">
        <f>Achievability</f>
        <v>0.14999999999999991</v>
      </c>
    </row>
    <row r="31" spans="1:4" x14ac:dyDescent="0.25">
      <c r="A31" s="190"/>
      <c r="B31" s="190"/>
      <c r="C31" s="190"/>
      <c r="D31" s="190"/>
    </row>
    <row r="32" spans="1:4" x14ac:dyDescent="0.25">
      <c r="A32" s="179" t="s">
        <v>604</v>
      </c>
      <c r="B32" s="179"/>
      <c r="C32" s="177" t="e">
        <f>B26*C26</f>
        <v>#DIV/0!</v>
      </c>
      <c r="D32" s="179"/>
    </row>
    <row r="33" spans="1:4" x14ac:dyDescent="0.25">
      <c r="A33" s="179" t="s">
        <v>183</v>
      </c>
      <c r="B33" s="179"/>
      <c r="C33" s="177">
        <f>B28*C28</f>
        <v>0.4</v>
      </c>
      <c r="D33" s="179"/>
    </row>
    <row r="34" spans="1:4" x14ac:dyDescent="0.25">
      <c r="A34" s="179" t="s">
        <v>602</v>
      </c>
      <c r="B34" s="179"/>
      <c r="C34" s="177">
        <f>B29*C29</f>
        <v>1.5379999999999994E-2</v>
      </c>
      <c r="D34" s="179"/>
    </row>
    <row r="35" spans="1:4" x14ac:dyDescent="0.25">
      <c r="A35" s="179" t="s">
        <v>603</v>
      </c>
      <c r="B35" s="179"/>
      <c r="C35" s="177">
        <f>B30*C30</f>
        <v>1.4999999999999993E-2</v>
      </c>
      <c r="D35" s="179"/>
    </row>
    <row r="36" spans="1:4" x14ac:dyDescent="0.25">
      <c r="A36" s="191" t="s">
        <v>605</v>
      </c>
      <c r="B36" s="165"/>
      <c r="C36" s="189" t="e">
        <f>SUM(C32:C35)</f>
        <v>#DIV/0!</v>
      </c>
      <c r="D36" s="165"/>
    </row>
  </sheetData>
  <conditionalFormatting sqref="C3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1AE4-91B7-4979-A168-2C1585DE4774}">
  <sheetPr>
    <pageSetUpPr fitToPage="1"/>
  </sheetPr>
  <dimension ref="A1:K92"/>
  <sheetViews>
    <sheetView zoomScale="80" zoomScaleNormal="80" workbookViewId="0"/>
  </sheetViews>
  <sheetFormatPr defaultRowHeight="14.25" x14ac:dyDescent="0.2"/>
  <cols>
    <col min="1" max="1" width="50.7109375" style="27" customWidth="1"/>
    <col min="2" max="2" width="1.7109375" style="27" customWidth="1"/>
    <col min="3" max="3" width="50.7109375" style="72" customWidth="1"/>
    <col min="4" max="4" width="1.7109375" style="72" customWidth="1"/>
    <col min="5" max="5" width="50.7109375" style="72" customWidth="1"/>
    <col min="6" max="6" width="1.7109375" style="72" customWidth="1"/>
    <col min="7" max="7" width="50.7109375" style="72" customWidth="1"/>
    <col min="8" max="8" width="1.7109375" style="72" customWidth="1"/>
    <col min="9" max="9" width="50.7109375" style="72" customWidth="1"/>
    <col min="10" max="10" width="9.140625" style="27"/>
    <col min="11" max="11" width="100.7109375" style="27" customWidth="1"/>
    <col min="12" max="16384" width="9.140625" style="27"/>
  </cols>
  <sheetData>
    <row r="1" spans="1:9" ht="20.25" x14ac:dyDescent="0.3">
      <c r="B1" s="57"/>
      <c r="C1" s="27"/>
      <c r="E1" s="97" t="s">
        <v>190</v>
      </c>
    </row>
    <row r="3" spans="1:9" ht="15" x14ac:dyDescent="0.2">
      <c r="A3" s="64" t="s">
        <v>23</v>
      </c>
      <c r="B3" s="73"/>
    </row>
    <row r="4" spans="1:9" ht="20.100000000000001" customHeight="1" x14ac:dyDescent="0.2">
      <c r="A4" s="64" t="s">
        <v>191</v>
      </c>
      <c r="B4" s="73"/>
      <c r="C4" s="74" t="s">
        <v>192</v>
      </c>
      <c r="D4" s="74"/>
      <c r="E4" s="74" t="s">
        <v>193</v>
      </c>
      <c r="F4" s="74"/>
      <c r="G4" s="74" t="s">
        <v>194</v>
      </c>
      <c r="H4" s="74"/>
      <c r="I4" s="74" t="s">
        <v>195</v>
      </c>
    </row>
    <row r="5" spans="1:9" ht="45" customHeight="1" x14ac:dyDescent="0.2">
      <c r="A5" s="75" t="s">
        <v>33</v>
      </c>
      <c r="B5" s="76"/>
      <c r="C5" s="77" t="s">
        <v>376</v>
      </c>
      <c r="D5" s="78"/>
      <c r="E5" s="77" t="s">
        <v>571</v>
      </c>
      <c r="F5" s="78"/>
      <c r="G5" s="77" t="s">
        <v>573</v>
      </c>
      <c r="H5" s="78"/>
      <c r="I5" s="79" t="s">
        <v>377</v>
      </c>
    </row>
    <row r="6" spans="1:9" ht="45" customHeight="1" x14ac:dyDescent="0.2">
      <c r="A6" s="75" t="s">
        <v>37</v>
      </c>
      <c r="B6" s="76"/>
      <c r="C6" s="77" t="s">
        <v>378</v>
      </c>
      <c r="D6" s="78"/>
      <c r="E6" s="77" t="s">
        <v>379</v>
      </c>
      <c r="F6" s="78"/>
      <c r="G6" s="77" t="s">
        <v>380</v>
      </c>
      <c r="H6" s="78"/>
      <c r="I6" s="79" t="s">
        <v>381</v>
      </c>
    </row>
    <row r="7" spans="1:9" ht="45" customHeight="1" x14ac:dyDescent="0.2">
      <c r="A7" s="75" t="s">
        <v>42</v>
      </c>
      <c r="B7" s="76"/>
      <c r="C7" s="77" t="s">
        <v>382</v>
      </c>
      <c r="D7" s="78"/>
      <c r="E7" s="77" t="s">
        <v>383</v>
      </c>
      <c r="F7" s="78"/>
      <c r="G7" s="77" t="s">
        <v>384</v>
      </c>
      <c r="H7" s="78"/>
      <c r="I7" s="79" t="s">
        <v>381</v>
      </c>
    </row>
    <row r="8" spans="1:9" ht="60" customHeight="1" x14ac:dyDescent="0.2">
      <c r="A8" s="75" t="s">
        <v>43</v>
      </c>
      <c r="B8" s="76"/>
      <c r="C8" s="77" t="s">
        <v>385</v>
      </c>
      <c r="D8" s="78"/>
      <c r="E8" s="77" t="s">
        <v>386</v>
      </c>
      <c r="F8" s="78"/>
      <c r="G8" s="77" t="s">
        <v>387</v>
      </c>
      <c r="H8" s="78"/>
      <c r="I8" s="79" t="s">
        <v>388</v>
      </c>
    </row>
    <row r="9" spans="1:9" ht="45" customHeight="1" x14ac:dyDescent="0.2">
      <c r="A9" s="75" t="s">
        <v>47</v>
      </c>
      <c r="B9" s="76"/>
      <c r="C9" s="77" t="s">
        <v>389</v>
      </c>
      <c r="D9" s="78"/>
      <c r="E9" s="77" t="s">
        <v>390</v>
      </c>
      <c r="F9" s="78"/>
      <c r="G9" s="77" t="s">
        <v>391</v>
      </c>
      <c r="H9" s="78"/>
      <c r="I9" s="79" t="s">
        <v>392</v>
      </c>
    </row>
    <row r="10" spans="1:9" ht="45" customHeight="1" x14ac:dyDescent="0.2">
      <c r="A10" s="75" t="s">
        <v>577</v>
      </c>
      <c r="B10" s="76"/>
      <c r="C10" s="77" t="s">
        <v>582</v>
      </c>
      <c r="D10" s="78"/>
      <c r="E10" s="77" t="s">
        <v>581</v>
      </c>
      <c r="F10" s="78"/>
      <c r="G10" s="77" t="s">
        <v>583</v>
      </c>
      <c r="H10" s="78"/>
      <c r="I10" s="79" t="s">
        <v>584</v>
      </c>
    </row>
    <row r="11" spans="1:9" x14ac:dyDescent="0.2">
      <c r="C11" s="27"/>
      <c r="D11" s="27"/>
      <c r="E11" s="27"/>
      <c r="F11" s="27"/>
    </row>
    <row r="13" spans="1:9" ht="15" x14ac:dyDescent="0.2">
      <c r="A13" s="64" t="s">
        <v>52</v>
      </c>
      <c r="B13" s="73"/>
    </row>
    <row r="14" spans="1:9" ht="20.100000000000001" customHeight="1" x14ac:dyDescent="0.2">
      <c r="A14" s="64" t="s">
        <v>196</v>
      </c>
      <c r="B14" s="73"/>
      <c r="C14" s="74" t="s">
        <v>192</v>
      </c>
      <c r="D14" s="74"/>
      <c r="E14" s="74" t="s">
        <v>193</v>
      </c>
      <c r="F14" s="74"/>
      <c r="G14" s="74" t="s">
        <v>194</v>
      </c>
      <c r="H14" s="74"/>
      <c r="I14" s="74" t="s">
        <v>195</v>
      </c>
    </row>
    <row r="15" spans="1:9" ht="75" customHeight="1" x14ac:dyDescent="0.2">
      <c r="A15" s="80" t="s">
        <v>53</v>
      </c>
      <c r="B15" s="76"/>
      <c r="C15" s="77" t="s">
        <v>393</v>
      </c>
      <c r="D15" s="78"/>
      <c r="E15" s="77" t="s">
        <v>394</v>
      </c>
      <c r="F15" s="78"/>
      <c r="G15" s="77" t="s">
        <v>395</v>
      </c>
      <c r="H15" s="78"/>
      <c r="I15" s="79" t="s">
        <v>396</v>
      </c>
    </row>
    <row r="16" spans="1:9" ht="45" customHeight="1" x14ac:dyDescent="0.2">
      <c r="A16" s="80" t="s">
        <v>56</v>
      </c>
      <c r="B16" s="76"/>
      <c r="C16" s="77" t="s">
        <v>397</v>
      </c>
      <c r="D16" s="78"/>
      <c r="E16" s="77" t="s">
        <v>398</v>
      </c>
      <c r="F16" s="78"/>
      <c r="G16" s="77" t="s">
        <v>399</v>
      </c>
      <c r="H16" s="78"/>
      <c r="I16" s="79" t="s">
        <v>400</v>
      </c>
    </row>
    <row r="17" spans="1:9" ht="45" customHeight="1" x14ac:dyDescent="0.2">
      <c r="A17" s="80" t="s">
        <v>61</v>
      </c>
      <c r="B17" s="76"/>
      <c r="C17" s="77" t="s">
        <v>401</v>
      </c>
      <c r="D17" s="78"/>
      <c r="E17" s="77" t="s">
        <v>402</v>
      </c>
      <c r="F17" s="78"/>
      <c r="G17" s="77" t="s">
        <v>403</v>
      </c>
      <c r="H17" s="78"/>
      <c r="I17" s="79" t="s">
        <v>404</v>
      </c>
    </row>
    <row r="18" spans="1:9" ht="45" customHeight="1" x14ac:dyDescent="0.2">
      <c r="A18" s="80" t="s">
        <v>66</v>
      </c>
      <c r="B18" s="76"/>
      <c r="C18" s="77" t="s">
        <v>405</v>
      </c>
      <c r="D18" s="78"/>
      <c r="E18" s="77" t="s">
        <v>406</v>
      </c>
      <c r="F18" s="78"/>
      <c r="G18" s="77" t="s">
        <v>407</v>
      </c>
      <c r="H18" s="78"/>
      <c r="I18" s="79" t="s">
        <v>408</v>
      </c>
    </row>
    <row r="19" spans="1:9" ht="29.25" x14ac:dyDescent="0.2">
      <c r="A19" s="80" t="s">
        <v>71</v>
      </c>
      <c r="B19" s="76"/>
      <c r="C19" s="77" t="s">
        <v>409</v>
      </c>
      <c r="D19" s="78"/>
      <c r="E19" s="77" t="s">
        <v>410</v>
      </c>
      <c r="F19" s="78"/>
      <c r="G19" s="77" t="s">
        <v>411</v>
      </c>
      <c r="H19" s="78"/>
      <c r="I19" s="79" t="s">
        <v>412</v>
      </c>
    </row>
    <row r="20" spans="1:9" ht="60" customHeight="1" x14ac:dyDescent="0.2">
      <c r="A20" s="80" t="s">
        <v>76</v>
      </c>
      <c r="B20" s="76"/>
      <c r="C20" s="77" t="s">
        <v>413</v>
      </c>
      <c r="D20" s="78"/>
      <c r="E20" s="77" t="s">
        <v>414</v>
      </c>
      <c r="F20" s="78"/>
      <c r="G20" s="77" t="s">
        <v>415</v>
      </c>
      <c r="H20" s="78"/>
      <c r="I20" s="79" t="s">
        <v>416</v>
      </c>
    </row>
    <row r="23" spans="1:9" ht="15" x14ac:dyDescent="0.2">
      <c r="A23" s="64" t="s">
        <v>82</v>
      </c>
      <c r="B23" s="73"/>
    </row>
    <row r="24" spans="1:9" ht="20.100000000000001" customHeight="1" x14ac:dyDescent="0.2">
      <c r="A24" s="64"/>
      <c r="B24" s="73"/>
      <c r="C24" s="74" t="s">
        <v>192</v>
      </c>
      <c r="D24" s="74"/>
      <c r="E24" s="74" t="s">
        <v>193</v>
      </c>
      <c r="F24" s="74"/>
      <c r="G24" s="74" t="s">
        <v>194</v>
      </c>
      <c r="H24" s="74"/>
      <c r="I24" s="74" t="s">
        <v>195</v>
      </c>
    </row>
    <row r="25" spans="1:9" ht="60" customHeight="1" x14ac:dyDescent="0.2">
      <c r="A25" s="80" t="s">
        <v>84</v>
      </c>
      <c r="B25" s="76"/>
      <c r="C25" s="77" t="s">
        <v>417</v>
      </c>
      <c r="D25" s="78"/>
      <c r="E25" s="77" t="s">
        <v>418</v>
      </c>
      <c r="F25" s="78"/>
      <c r="G25" s="77" t="s">
        <v>419</v>
      </c>
      <c r="H25" s="78"/>
      <c r="I25" s="79" t="s">
        <v>420</v>
      </c>
    </row>
    <row r="26" spans="1:9" ht="60" customHeight="1" x14ac:dyDescent="0.2">
      <c r="A26" s="80" t="s">
        <v>89</v>
      </c>
      <c r="B26" s="76"/>
      <c r="C26" s="77" t="s">
        <v>421</v>
      </c>
      <c r="D26" s="78"/>
      <c r="E26" s="77" t="s">
        <v>422</v>
      </c>
      <c r="F26" s="78"/>
      <c r="G26" s="77" t="s">
        <v>423</v>
      </c>
      <c r="H26" s="78"/>
      <c r="I26" s="79" t="s">
        <v>424</v>
      </c>
    </row>
    <row r="27" spans="1:9" ht="45" customHeight="1" x14ac:dyDescent="0.2">
      <c r="A27" s="80" t="s">
        <v>94</v>
      </c>
      <c r="B27" s="76"/>
      <c r="C27" s="77" t="s">
        <v>425</v>
      </c>
      <c r="D27" s="78"/>
      <c r="E27" s="77" t="s">
        <v>426</v>
      </c>
      <c r="F27" s="78"/>
      <c r="G27" s="77" t="s">
        <v>427</v>
      </c>
      <c r="H27" s="78"/>
      <c r="I27" s="79" t="s">
        <v>428</v>
      </c>
    </row>
    <row r="28" spans="1:9" ht="75" customHeight="1" x14ac:dyDescent="0.2">
      <c r="A28" s="80" t="s">
        <v>99</v>
      </c>
      <c r="B28" s="76"/>
      <c r="C28" s="77" t="s">
        <v>429</v>
      </c>
      <c r="D28" s="78"/>
      <c r="E28" s="79" t="s">
        <v>430</v>
      </c>
      <c r="F28" s="78"/>
      <c r="G28" s="79" t="s">
        <v>431</v>
      </c>
      <c r="H28" s="78"/>
      <c r="I28" s="79" t="s">
        <v>432</v>
      </c>
    </row>
    <row r="29" spans="1:9" ht="45" customHeight="1" x14ac:dyDescent="0.2">
      <c r="A29" s="80" t="s">
        <v>103</v>
      </c>
      <c r="B29" s="76"/>
      <c r="C29" s="77" t="s">
        <v>433</v>
      </c>
      <c r="D29" s="78"/>
      <c r="E29" s="77" t="s">
        <v>434</v>
      </c>
      <c r="F29" s="78"/>
      <c r="G29" s="77" t="s">
        <v>435</v>
      </c>
      <c r="H29" s="78"/>
      <c r="I29" s="79" t="s">
        <v>436</v>
      </c>
    </row>
    <row r="31" spans="1:9" x14ac:dyDescent="0.2">
      <c r="A31" s="18"/>
      <c r="C31" s="81"/>
      <c r="D31" s="82"/>
      <c r="E31" s="81"/>
      <c r="F31" s="83"/>
      <c r="G31" s="81"/>
    </row>
    <row r="32" spans="1:9" ht="20.100000000000001" customHeight="1" x14ac:dyDescent="0.2">
      <c r="A32" s="65"/>
      <c r="B32" s="67"/>
      <c r="C32" s="84" t="s">
        <v>197</v>
      </c>
      <c r="D32" s="85"/>
      <c r="E32" s="86"/>
      <c r="F32" s="87"/>
      <c r="G32" s="86"/>
      <c r="H32" s="88"/>
      <c r="I32" s="88"/>
    </row>
    <row r="33" spans="1:9" x14ac:dyDescent="0.2">
      <c r="A33" s="18"/>
      <c r="C33" s="82"/>
      <c r="D33" s="82"/>
      <c r="E33" s="19"/>
      <c r="F33" s="83"/>
      <c r="G33" s="19"/>
    </row>
    <row r="34" spans="1:9" ht="20.100000000000001" customHeight="1" x14ac:dyDescent="0.2">
      <c r="A34" s="31" t="s">
        <v>23</v>
      </c>
      <c r="B34" s="89"/>
      <c r="C34" s="82"/>
      <c r="D34" s="82"/>
      <c r="E34" s="19"/>
      <c r="F34" s="83"/>
      <c r="G34" s="19"/>
    </row>
    <row r="35" spans="1:9" ht="20.100000000000001" customHeight="1" x14ac:dyDescent="0.2">
      <c r="A35" s="31" t="s">
        <v>198</v>
      </c>
      <c r="B35" s="89"/>
      <c r="C35" s="90" t="s">
        <v>192</v>
      </c>
      <c r="D35" s="90"/>
      <c r="E35" s="90" t="s">
        <v>193</v>
      </c>
      <c r="F35" s="90"/>
      <c r="G35" s="90" t="s">
        <v>194</v>
      </c>
      <c r="H35" s="90"/>
      <c r="I35" s="90" t="s">
        <v>195</v>
      </c>
    </row>
    <row r="36" spans="1:9" ht="45" customHeight="1" x14ac:dyDescent="0.2">
      <c r="A36" s="75" t="s">
        <v>112</v>
      </c>
      <c r="B36" s="76"/>
      <c r="C36" s="77" t="s">
        <v>437</v>
      </c>
      <c r="D36" s="78"/>
      <c r="E36" s="77" t="s">
        <v>438</v>
      </c>
      <c r="F36" s="78"/>
      <c r="G36" s="77" t="s">
        <v>439</v>
      </c>
      <c r="H36" s="78"/>
      <c r="I36" s="79" t="s">
        <v>440</v>
      </c>
    </row>
    <row r="37" spans="1:9" ht="60" customHeight="1" x14ac:dyDescent="0.2">
      <c r="A37" s="75" t="s">
        <v>114</v>
      </c>
      <c r="B37" s="76"/>
      <c r="C37" s="77" t="s">
        <v>441</v>
      </c>
      <c r="D37" s="78"/>
      <c r="E37" s="77" t="s">
        <v>442</v>
      </c>
      <c r="F37" s="78"/>
      <c r="G37" s="77" t="s">
        <v>443</v>
      </c>
      <c r="H37" s="78"/>
      <c r="I37" s="79" t="s">
        <v>444</v>
      </c>
    </row>
    <row r="38" spans="1:9" ht="45" customHeight="1" x14ac:dyDescent="0.2">
      <c r="A38" s="80" t="s">
        <v>199</v>
      </c>
      <c r="B38" s="91"/>
      <c r="C38" s="77" t="s">
        <v>445</v>
      </c>
      <c r="D38" s="78"/>
      <c r="E38" s="77" t="s">
        <v>446</v>
      </c>
      <c r="F38" s="78"/>
      <c r="G38" s="77" t="s">
        <v>447</v>
      </c>
      <c r="H38" s="78"/>
      <c r="I38" s="79" t="s">
        <v>448</v>
      </c>
    </row>
    <row r="39" spans="1:9" ht="75" customHeight="1" x14ac:dyDescent="0.2">
      <c r="A39" s="80" t="s">
        <v>123</v>
      </c>
      <c r="B39" s="91"/>
      <c r="C39" s="77" t="s">
        <v>449</v>
      </c>
      <c r="D39" s="78"/>
      <c r="E39" s="77" t="s">
        <v>450</v>
      </c>
      <c r="F39" s="78"/>
      <c r="G39" s="77" t="s">
        <v>451</v>
      </c>
      <c r="H39" s="78"/>
      <c r="I39" s="79" t="s">
        <v>452</v>
      </c>
    </row>
    <row r="40" spans="1:9" ht="75" customHeight="1" x14ac:dyDescent="0.2">
      <c r="A40" s="80" t="s">
        <v>128</v>
      </c>
      <c r="B40" s="91"/>
      <c r="C40" s="77" t="s">
        <v>453</v>
      </c>
      <c r="D40" s="78"/>
      <c r="E40" s="77" t="s">
        <v>454</v>
      </c>
      <c r="F40" s="78"/>
      <c r="G40" s="77" t="s">
        <v>455</v>
      </c>
      <c r="H40" s="78"/>
      <c r="I40" s="79" t="s">
        <v>456</v>
      </c>
    </row>
    <row r="41" spans="1:9" ht="15" x14ac:dyDescent="0.2">
      <c r="A41" s="92"/>
      <c r="C41" s="82"/>
      <c r="D41" s="82"/>
      <c r="E41" s="19"/>
      <c r="F41" s="83"/>
      <c r="G41" s="19"/>
    </row>
    <row r="42" spans="1:9" ht="20.100000000000001" customHeight="1" x14ac:dyDescent="0.2">
      <c r="A42" s="31" t="s">
        <v>82</v>
      </c>
      <c r="B42" s="89"/>
      <c r="C42" s="82"/>
      <c r="D42" s="82"/>
      <c r="E42" s="19"/>
      <c r="F42" s="83"/>
      <c r="G42" s="19"/>
    </row>
    <row r="43" spans="1:9" ht="20.100000000000001" customHeight="1" x14ac:dyDescent="0.2">
      <c r="A43" s="31"/>
      <c r="B43" s="89"/>
      <c r="C43" s="90" t="s">
        <v>192</v>
      </c>
      <c r="D43" s="90"/>
      <c r="E43" s="90" t="s">
        <v>193</v>
      </c>
      <c r="F43" s="90"/>
      <c r="G43" s="90" t="s">
        <v>194</v>
      </c>
      <c r="H43" s="90"/>
      <c r="I43" s="90" t="s">
        <v>195</v>
      </c>
    </row>
    <row r="44" spans="1:9" ht="60" customHeight="1" x14ac:dyDescent="0.2">
      <c r="A44" s="93" t="s">
        <v>133</v>
      </c>
      <c r="B44" s="78"/>
      <c r="C44" s="77" t="s">
        <v>457</v>
      </c>
      <c r="D44" s="78"/>
      <c r="E44" s="77" t="s">
        <v>537</v>
      </c>
      <c r="F44" s="78"/>
      <c r="G44" s="77" t="s">
        <v>458</v>
      </c>
      <c r="H44" s="78"/>
      <c r="I44" s="79" t="s">
        <v>459</v>
      </c>
    </row>
    <row r="45" spans="1:9" ht="105" customHeight="1" x14ac:dyDescent="0.2">
      <c r="A45" s="93" t="s">
        <v>137</v>
      </c>
      <c r="B45" s="78"/>
      <c r="C45" s="77" t="s">
        <v>460</v>
      </c>
      <c r="D45" s="78"/>
      <c r="E45" s="77" t="s">
        <v>461</v>
      </c>
      <c r="F45" s="78"/>
      <c r="G45" s="79" t="s">
        <v>462</v>
      </c>
      <c r="H45" s="78"/>
      <c r="I45" s="79" t="s">
        <v>463</v>
      </c>
    </row>
    <row r="46" spans="1:9" ht="60" customHeight="1" x14ac:dyDescent="0.2">
      <c r="A46" s="93" t="s">
        <v>200</v>
      </c>
      <c r="B46" s="78"/>
      <c r="C46" s="77" t="s">
        <v>464</v>
      </c>
      <c r="D46" s="78"/>
      <c r="E46" s="94" t="s">
        <v>465</v>
      </c>
      <c r="F46" s="78"/>
      <c r="G46" s="79" t="s">
        <v>466</v>
      </c>
      <c r="H46" s="78"/>
      <c r="I46" s="79" t="s">
        <v>467</v>
      </c>
    </row>
    <row r="47" spans="1:9" ht="45" customHeight="1" x14ac:dyDescent="0.2">
      <c r="A47" s="93" t="s">
        <v>140</v>
      </c>
      <c r="B47" s="78"/>
      <c r="C47" s="77" t="s">
        <v>468</v>
      </c>
      <c r="D47" s="78"/>
      <c r="E47" s="94" t="s">
        <v>469</v>
      </c>
      <c r="F47" s="78"/>
      <c r="G47" s="94" t="s">
        <v>470</v>
      </c>
      <c r="H47" s="78"/>
      <c r="I47" s="79" t="s">
        <v>471</v>
      </c>
    </row>
    <row r="48" spans="1:9" ht="15" x14ac:dyDescent="0.2">
      <c r="A48" s="92"/>
      <c r="C48" s="82"/>
      <c r="D48" s="82"/>
      <c r="E48" s="19"/>
      <c r="F48" s="83"/>
      <c r="G48" s="19"/>
    </row>
    <row r="49" spans="1:11" ht="20.100000000000001" customHeight="1" x14ac:dyDescent="0.2">
      <c r="A49" s="31" t="s">
        <v>143</v>
      </c>
      <c r="B49" s="89"/>
      <c r="C49" s="82"/>
      <c r="D49" s="82"/>
      <c r="E49" s="19"/>
      <c r="F49" s="83"/>
      <c r="G49" s="19"/>
    </row>
    <row r="50" spans="1:11" ht="20.100000000000001" customHeight="1" x14ac:dyDescent="0.2">
      <c r="A50" s="31"/>
      <c r="B50" s="89"/>
      <c r="C50" s="90" t="s">
        <v>192</v>
      </c>
      <c r="D50" s="90"/>
      <c r="E50" s="90" t="s">
        <v>193</v>
      </c>
      <c r="F50" s="90"/>
      <c r="G50" s="90" t="s">
        <v>194</v>
      </c>
      <c r="H50" s="90"/>
      <c r="I50" s="90" t="s">
        <v>195</v>
      </c>
    </row>
    <row r="51" spans="1:11" ht="57.75" x14ac:dyDescent="0.2">
      <c r="A51" s="93" t="s">
        <v>360</v>
      </c>
      <c r="B51" s="78"/>
      <c r="C51" s="77" t="s">
        <v>472</v>
      </c>
      <c r="D51" s="78"/>
      <c r="E51" s="77" t="s">
        <v>473</v>
      </c>
      <c r="F51" s="78"/>
      <c r="G51" s="79" t="s">
        <v>474</v>
      </c>
      <c r="H51" s="78"/>
      <c r="I51" s="79" t="s">
        <v>475</v>
      </c>
    </row>
    <row r="52" spans="1:11" ht="60" customHeight="1" x14ac:dyDescent="0.2">
      <c r="A52" s="93" t="s">
        <v>361</v>
      </c>
      <c r="B52" s="78"/>
      <c r="C52" s="77" t="s">
        <v>476</v>
      </c>
      <c r="D52" s="78"/>
      <c r="E52" s="77" t="s">
        <v>477</v>
      </c>
      <c r="F52" s="78"/>
      <c r="G52" s="79" t="s">
        <v>478</v>
      </c>
      <c r="H52" s="78"/>
      <c r="I52" s="79" t="s">
        <v>479</v>
      </c>
    </row>
    <row r="53" spans="1:11" ht="75" customHeight="1" x14ac:dyDescent="0.2">
      <c r="A53" s="93" t="s">
        <v>480</v>
      </c>
      <c r="B53" s="78"/>
      <c r="C53" s="77" t="s">
        <v>481</v>
      </c>
      <c r="D53" s="78"/>
      <c r="E53" s="77" t="s">
        <v>482</v>
      </c>
      <c r="F53" s="78"/>
      <c r="G53" s="79" t="s">
        <v>483</v>
      </c>
      <c r="H53" s="78"/>
      <c r="I53" s="79" t="s">
        <v>484</v>
      </c>
    </row>
    <row r="54" spans="1:11" ht="60" customHeight="1" x14ac:dyDescent="0.2">
      <c r="A54" s="93" t="s">
        <v>144</v>
      </c>
      <c r="B54" s="78"/>
      <c r="C54" s="77" t="s">
        <v>485</v>
      </c>
      <c r="D54" s="78"/>
      <c r="E54" s="77" t="s">
        <v>486</v>
      </c>
      <c r="F54" s="78"/>
      <c r="G54" s="77" t="s">
        <v>487</v>
      </c>
      <c r="H54" s="78"/>
      <c r="I54" s="79" t="s">
        <v>538</v>
      </c>
    </row>
    <row r="55" spans="1:11" ht="60" customHeight="1" x14ac:dyDescent="0.2">
      <c r="A55" s="93" t="s">
        <v>146</v>
      </c>
      <c r="B55" s="78"/>
      <c r="C55" s="77" t="s">
        <v>488</v>
      </c>
      <c r="D55" s="78"/>
      <c r="E55" s="77" t="s">
        <v>489</v>
      </c>
      <c r="F55" s="78"/>
      <c r="G55" s="79" t="s">
        <v>490</v>
      </c>
      <c r="H55" s="78"/>
      <c r="I55" s="79" t="s">
        <v>491</v>
      </c>
    </row>
    <row r="56" spans="1:11" ht="75" customHeight="1" x14ac:dyDescent="0.2">
      <c r="A56" s="93" t="s">
        <v>147</v>
      </c>
      <c r="B56" s="78"/>
      <c r="C56" s="77" t="s">
        <v>492</v>
      </c>
      <c r="D56" s="78"/>
      <c r="E56" s="77" t="s">
        <v>493</v>
      </c>
      <c r="F56" s="78"/>
      <c r="G56" s="79" t="s">
        <v>494</v>
      </c>
      <c r="H56" s="78"/>
      <c r="I56" s="79" t="s">
        <v>495</v>
      </c>
    </row>
    <row r="57" spans="1:11" ht="60" customHeight="1" x14ac:dyDescent="0.2">
      <c r="A57" s="93" t="s">
        <v>148</v>
      </c>
      <c r="B57" s="78"/>
      <c r="C57" s="77" t="s">
        <v>496</v>
      </c>
      <c r="D57" s="78"/>
      <c r="E57" s="77" t="s">
        <v>497</v>
      </c>
      <c r="F57" s="78"/>
      <c r="G57" s="77" t="s">
        <v>498</v>
      </c>
      <c r="H57" s="78"/>
      <c r="I57" s="79" t="s">
        <v>499</v>
      </c>
    </row>
    <row r="58" spans="1:11" ht="75" customHeight="1" x14ac:dyDescent="0.2">
      <c r="A58" s="93" t="s">
        <v>152</v>
      </c>
      <c r="B58" s="78"/>
      <c r="C58" s="77" t="s">
        <v>500</v>
      </c>
      <c r="D58" s="78"/>
      <c r="E58" s="77" t="s">
        <v>501</v>
      </c>
      <c r="F58" s="78"/>
      <c r="G58" s="77" t="s">
        <v>502</v>
      </c>
      <c r="H58" s="78"/>
      <c r="I58" s="79" t="s">
        <v>503</v>
      </c>
    </row>
    <row r="59" spans="1:11" ht="135" customHeight="1" x14ac:dyDescent="0.2">
      <c r="A59" s="93" t="s">
        <v>154</v>
      </c>
      <c r="B59" s="78"/>
      <c r="C59" s="95" t="s">
        <v>504</v>
      </c>
      <c r="D59" s="78"/>
      <c r="E59" s="95" t="s">
        <v>505</v>
      </c>
      <c r="F59" s="78"/>
      <c r="G59" s="95" t="s">
        <v>506</v>
      </c>
      <c r="H59" s="78"/>
      <c r="I59" s="79" t="s">
        <v>507</v>
      </c>
      <c r="K59" s="47" t="s">
        <v>508</v>
      </c>
    </row>
    <row r="60" spans="1:11" ht="72" x14ac:dyDescent="0.2">
      <c r="A60" s="93" t="s">
        <v>158</v>
      </c>
      <c r="B60" s="78"/>
      <c r="C60" s="77" t="s">
        <v>509</v>
      </c>
      <c r="D60" s="78"/>
      <c r="E60" s="77" t="s">
        <v>510</v>
      </c>
      <c r="F60" s="78"/>
      <c r="G60" s="77" t="s">
        <v>511</v>
      </c>
      <c r="H60" s="78"/>
      <c r="I60" s="79" t="s">
        <v>512</v>
      </c>
    </row>
    <row r="61" spans="1:11" ht="75" customHeight="1" x14ac:dyDescent="0.2">
      <c r="A61" s="93" t="s">
        <v>159</v>
      </c>
      <c r="B61" s="78"/>
      <c r="C61" s="77" t="s">
        <v>513</v>
      </c>
      <c r="D61" s="78"/>
      <c r="E61" s="77" t="s">
        <v>514</v>
      </c>
      <c r="F61" s="78"/>
      <c r="G61" s="77" t="s">
        <v>515</v>
      </c>
      <c r="H61" s="78"/>
      <c r="I61" s="79" t="s">
        <v>516</v>
      </c>
    </row>
    <row r="62" spans="1:11" ht="75" customHeight="1" x14ac:dyDescent="0.2">
      <c r="A62" s="93" t="s">
        <v>160</v>
      </c>
      <c r="B62" s="78"/>
      <c r="C62" s="77" t="s">
        <v>517</v>
      </c>
      <c r="D62" s="78"/>
      <c r="E62" s="77" t="s">
        <v>518</v>
      </c>
      <c r="F62" s="78"/>
      <c r="G62" s="77" t="s">
        <v>519</v>
      </c>
      <c r="H62" s="78"/>
      <c r="I62" s="79" t="s">
        <v>520</v>
      </c>
    </row>
    <row r="63" spans="1:11" ht="60" customHeight="1" x14ac:dyDescent="0.2">
      <c r="A63" s="93" t="s">
        <v>165</v>
      </c>
      <c r="B63" s="78"/>
      <c r="C63" s="77" t="s">
        <v>521</v>
      </c>
      <c r="D63" s="78"/>
      <c r="E63" s="77" t="s">
        <v>522</v>
      </c>
      <c r="F63" s="78"/>
      <c r="G63" s="77" t="s">
        <v>523</v>
      </c>
      <c r="H63" s="78"/>
      <c r="I63" s="79" t="s">
        <v>524</v>
      </c>
    </row>
    <row r="64" spans="1:11" ht="60" customHeight="1" x14ac:dyDescent="0.2">
      <c r="A64" s="93" t="s">
        <v>170</v>
      </c>
      <c r="B64" s="78"/>
      <c r="C64" s="77" t="s">
        <v>525</v>
      </c>
      <c r="D64" s="78"/>
      <c r="E64" s="77" t="s">
        <v>526</v>
      </c>
      <c r="F64" s="78"/>
      <c r="G64" s="77" t="s">
        <v>527</v>
      </c>
      <c r="H64" s="78"/>
      <c r="I64" s="79" t="s">
        <v>528</v>
      </c>
    </row>
    <row r="65" spans="1:9" ht="75" customHeight="1" x14ac:dyDescent="0.2">
      <c r="A65" s="93" t="s">
        <v>174</v>
      </c>
      <c r="B65" s="78"/>
      <c r="C65" s="77" t="s">
        <v>529</v>
      </c>
      <c r="D65" s="78"/>
      <c r="E65" s="77" t="s">
        <v>530</v>
      </c>
      <c r="F65" s="78"/>
      <c r="G65" s="77" t="s">
        <v>531</v>
      </c>
      <c r="H65" s="78"/>
      <c r="I65" s="79" t="s">
        <v>532</v>
      </c>
    </row>
    <row r="66" spans="1:9" ht="45" customHeight="1" x14ac:dyDescent="0.2">
      <c r="A66" s="93" t="s">
        <v>201</v>
      </c>
      <c r="B66" s="78"/>
      <c r="C66" s="77" t="s">
        <v>533</v>
      </c>
      <c r="D66" s="78"/>
      <c r="E66" s="77" t="s">
        <v>534</v>
      </c>
      <c r="F66" s="78"/>
      <c r="G66" s="77" t="s">
        <v>535</v>
      </c>
      <c r="H66" s="78"/>
      <c r="I66" s="79" t="s">
        <v>536</v>
      </c>
    </row>
    <row r="67" spans="1:9" ht="15" x14ac:dyDescent="0.2">
      <c r="A67" s="96"/>
      <c r="C67" s="82"/>
      <c r="D67" s="82"/>
      <c r="E67" s="19"/>
      <c r="F67" s="83"/>
      <c r="G67" s="19"/>
    </row>
    <row r="68" spans="1:9" ht="15" x14ac:dyDescent="0.2">
      <c r="A68" s="96"/>
      <c r="C68" s="82"/>
      <c r="D68" s="82"/>
      <c r="E68" s="19"/>
      <c r="F68" s="83"/>
      <c r="G68" s="19"/>
    </row>
    <row r="69" spans="1:9" x14ac:dyDescent="0.2">
      <c r="C69" s="27"/>
    </row>
    <row r="70" spans="1:9" x14ac:dyDescent="0.2">
      <c r="C70" s="27"/>
    </row>
    <row r="71" spans="1:9" x14ac:dyDescent="0.2">
      <c r="C71" s="27"/>
    </row>
    <row r="72" spans="1:9" x14ac:dyDescent="0.2">
      <c r="C72" s="27"/>
    </row>
    <row r="73" spans="1:9" x14ac:dyDescent="0.2">
      <c r="C73" s="27"/>
    </row>
    <row r="74" spans="1:9" x14ac:dyDescent="0.2">
      <c r="C74" s="27"/>
    </row>
    <row r="75" spans="1:9" x14ac:dyDescent="0.2">
      <c r="C75" s="27"/>
    </row>
    <row r="76" spans="1:9" x14ac:dyDescent="0.2">
      <c r="C76" s="27"/>
    </row>
    <row r="77" spans="1:9" x14ac:dyDescent="0.2">
      <c r="C77" s="27"/>
    </row>
    <row r="78" spans="1:9" x14ac:dyDescent="0.2">
      <c r="C78" s="27"/>
    </row>
    <row r="79" spans="1:9" x14ac:dyDescent="0.2">
      <c r="C79" s="27"/>
    </row>
    <row r="80" spans="1:9" x14ac:dyDescent="0.2">
      <c r="C80" s="27"/>
    </row>
    <row r="81" spans="3:3" x14ac:dyDescent="0.2">
      <c r="C81" s="27"/>
    </row>
    <row r="82" spans="3:3" x14ac:dyDescent="0.2">
      <c r="C82" s="27"/>
    </row>
    <row r="83" spans="3:3" x14ac:dyDescent="0.2">
      <c r="C83" s="27"/>
    </row>
    <row r="84" spans="3:3" x14ac:dyDescent="0.2">
      <c r="C84" s="27"/>
    </row>
    <row r="85" spans="3:3" x14ac:dyDescent="0.2">
      <c r="C85" s="27"/>
    </row>
    <row r="86" spans="3:3" x14ac:dyDescent="0.2">
      <c r="C86" s="27"/>
    </row>
    <row r="87" spans="3:3" x14ac:dyDescent="0.2">
      <c r="C87" s="27"/>
    </row>
    <row r="88" spans="3:3" x14ac:dyDescent="0.2">
      <c r="C88" s="27"/>
    </row>
    <row r="89" spans="3:3" x14ac:dyDescent="0.2">
      <c r="C89" s="27"/>
    </row>
    <row r="90" spans="3:3" x14ac:dyDescent="0.2">
      <c r="C90" s="27"/>
    </row>
    <row r="91" spans="3:3" x14ac:dyDescent="0.2">
      <c r="C91" s="27"/>
    </row>
    <row r="92" spans="3:3" x14ac:dyDescent="0.2">
      <c r="C92" s="27"/>
    </row>
  </sheetData>
  <printOptions horizontalCentered="1"/>
  <pageMargins left="0.70866141732283472" right="0.70866141732283472" top="0.74803149606299213" bottom="0.74803149606299213" header="0.31496062992125984" footer="0.31496062992125984"/>
  <pageSetup paperSize="9" scale="53" fitToHeight="9" orientation="landscape" horizontalDpi="1200" verticalDpi="1200"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1C533-17A6-465C-BB61-97A03A47A371}">
  <dimension ref="A1:P75"/>
  <sheetViews>
    <sheetView zoomScale="75" zoomScaleNormal="75" workbookViewId="0"/>
  </sheetViews>
  <sheetFormatPr defaultRowHeight="14.25" x14ac:dyDescent="0.2"/>
  <cols>
    <col min="1" max="1" width="8.7109375" style="49" customWidth="1"/>
    <col min="2" max="2" width="30.7109375" style="49" customWidth="1"/>
    <col min="3" max="5" width="35.7109375" style="49" customWidth="1"/>
    <col min="6" max="9" width="12.7109375" style="49" customWidth="1"/>
    <col min="10" max="16384" width="9.140625" style="49"/>
  </cols>
  <sheetData>
    <row r="1" spans="2:16" ht="20.25" x14ac:dyDescent="0.3">
      <c r="E1" s="98" t="s">
        <v>202</v>
      </c>
    </row>
    <row r="2" spans="2:16" ht="20.25" x14ac:dyDescent="0.3">
      <c r="E2" s="149" t="s">
        <v>203</v>
      </c>
    </row>
    <row r="4" spans="2:16" ht="15" x14ac:dyDescent="0.25">
      <c r="C4" s="111" t="s">
        <v>539</v>
      </c>
      <c r="D4" s="111" t="s">
        <v>372</v>
      </c>
      <c r="E4" s="111" t="s">
        <v>373</v>
      </c>
    </row>
    <row r="5" spans="2:16" x14ac:dyDescent="0.2">
      <c r="C5" s="29" t="s">
        <v>88</v>
      </c>
      <c r="D5" s="99">
        <v>0.15</v>
      </c>
      <c r="E5" s="99">
        <v>0.49</v>
      </c>
    </row>
    <row r="6" spans="2:16" x14ac:dyDescent="0.2">
      <c r="C6" s="29" t="s">
        <v>163</v>
      </c>
      <c r="D6" s="99">
        <v>0.5</v>
      </c>
      <c r="E6" s="99">
        <v>0.74</v>
      </c>
    </row>
    <row r="7" spans="2:16" x14ac:dyDescent="0.2">
      <c r="C7" s="29" t="s">
        <v>138</v>
      </c>
      <c r="D7" s="99">
        <v>0.75</v>
      </c>
      <c r="E7" s="99">
        <v>1</v>
      </c>
    </row>
    <row r="9" spans="2:16" ht="15" x14ac:dyDescent="0.25">
      <c r="B9" s="67"/>
      <c r="C9" s="67"/>
      <c r="D9" s="100" t="s">
        <v>204</v>
      </c>
      <c r="E9" s="67"/>
      <c r="F9" s="67"/>
      <c r="G9" s="67"/>
      <c r="H9" s="67"/>
      <c r="I9" s="67"/>
      <c r="J9" s="67"/>
    </row>
    <row r="10" spans="2:16" ht="15" x14ac:dyDescent="0.25">
      <c r="C10" s="101" t="s">
        <v>183</v>
      </c>
      <c r="D10" s="101" t="s">
        <v>184</v>
      </c>
      <c r="E10" s="101" t="s">
        <v>185</v>
      </c>
      <c r="F10" s="101" t="s">
        <v>186</v>
      </c>
      <c r="G10" s="101" t="s">
        <v>187</v>
      </c>
      <c r="H10" s="102" t="s">
        <v>188</v>
      </c>
      <c r="I10" s="102" t="s">
        <v>189</v>
      </c>
      <c r="J10" s="103" t="s">
        <v>205</v>
      </c>
    </row>
    <row r="11" spans="2:16" ht="15" x14ac:dyDescent="0.25">
      <c r="B11" s="104" t="s">
        <v>206</v>
      </c>
      <c r="C11" s="105">
        <v>0.2</v>
      </c>
      <c r="D11" s="105">
        <v>0.2</v>
      </c>
      <c r="E11" s="105">
        <v>0.25</v>
      </c>
      <c r="F11" s="105">
        <v>0.08</v>
      </c>
      <c r="G11" s="105">
        <v>0.1</v>
      </c>
      <c r="H11" s="105">
        <v>0.15</v>
      </c>
      <c r="I11" s="105">
        <v>0.02</v>
      </c>
      <c r="J11" s="106">
        <f>SUM(C11:I11)</f>
        <v>1</v>
      </c>
      <c r="K11" s="49" t="s">
        <v>207</v>
      </c>
      <c r="N11" s="107"/>
      <c r="O11" s="107"/>
      <c r="P11" s="107"/>
    </row>
    <row r="12" spans="2:16" x14ac:dyDescent="0.2">
      <c r="B12" s="30" t="s">
        <v>208</v>
      </c>
      <c r="C12" s="108">
        <f>Results!B37*C11</f>
        <v>0.2</v>
      </c>
      <c r="D12" s="108" t="e">
        <f>Results!C37*D11</f>
        <v>#REF!</v>
      </c>
      <c r="E12" s="108">
        <f>Results!D37*E11</f>
        <v>3.8449999999999984E-2</v>
      </c>
      <c r="F12" s="109" t="e">
        <f>Results!F37*F11</f>
        <v>#REF!</v>
      </c>
      <c r="G12" s="108">
        <f>Results!G37*G11</f>
        <v>1.6666666666666666E-2</v>
      </c>
      <c r="H12" s="108">
        <f>Results!H37*H11</f>
        <v>2.2499999999999985E-2</v>
      </c>
      <c r="I12" s="108" t="e">
        <f>Results!I37*I11</f>
        <v>#REF!</v>
      </c>
      <c r="J12" s="27"/>
      <c r="K12" s="49" t="s">
        <v>209</v>
      </c>
      <c r="N12" s="107"/>
      <c r="O12" s="107"/>
      <c r="P12" s="107"/>
    </row>
    <row r="13" spans="2:16" x14ac:dyDescent="0.2">
      <c r="B13" s="30" t="s">
        <v>210</v>
      </c>
      <c r="C13" s="110">
        <f>C12/C11</f>
        <v>1</v>
      </c>
      <c r="D13" s="110"/>
      <c r="E13" s="110">
        <f>E12/E11</f>
        <v>0.15379999999999994</v>
      </c>
      <c r="F13" s="110"/>
      <c r="G13" s="110">
        <f>G12/G11</f>
        <v>0.16666666666666666</v>
      </c>
      <c r="H13" s="110">
        <f>H12/H11</f>
        <v>0.14999999999999991</v>
      </c>
      <c r="I13" s="110" t="e">
        <f>IF(I12/I11&gt;1,1,I12/I11)</f>
        <v>#REF!</v>
      </c>
      <c r="J13" s="27"/>
      <c r="K13" s="49" t="s">
        <v>211</v>
      </c>
      <c r="N13" s="107"/>
      <c r="O13" s="107"/>
      <c r="P13" s="107"/>
    </row>
    <row r="17" spans="3:13" ht="15" x14ac:dyDescent="0.25">
      <c r="C17" s="67"/>
      <c r="D17" s="111" t="s">
        <v>212</v>
      </c>
      <c r="E17" s="67"/>
      <c r="M17" s="112"/>
    </row>
    <row r="18" spans="3:13" x14ac:dyDescent="0.2">
      <c r="C18" s="113" t="s">
        <v>213</v>
      </c>
      <c r="D18" s="114">
        <v>900</v>
      </c>
      <c r="E18" s="112" t="s">
        <v>214</v>
      </c>
      <c r="H18" s="49" t="s">
        <v>215</v>
      </c>
      <c r="M18" s="112"/>
    </row>
    <row r="19" spans="3:13" x14ac:dyDescent="0.2">
      <c r="C19" s="113" t="s">
        <v>216</v>
      </c>
      <c r="D19" s="114">
        <f>150000/231</f>
        <v>649.35064935064941</v>
      </c>
      <c r="E19" s="112" t="s">
        <v>217</v>
      </c>
      <c r="H19" s="49" t="s">
        <v>218</v>
      </c>
      <c r="M19" s="112"/>
    </row>
    <row r="20" spans="3:13" x14ac:dyDescent="0.2">
      <c r="C20" s="113" t="s">
        <v>219</v>
      </c>
      <c r="D20" s="114">
        <f>('Early assessment'!H20/4*D18+(1-'Early assessment'!H20/4)*D19)*21*('Early assessment'!H21*6)</f>
        <v>453600</v>
      </c>
      <c r="E20" s="112"/>
      <c r="H20" s="49" t="s">
        <v>209</v>
      </c>
      <c r="M20" s="112"/>
    </row>
    <row r="21" spans="3:13" x14ac:dyDescent="0.2">
      <c r="C21" s="113" t="s">
        <v>220</v>
      </c>
      <c r="D21" s="41">
        <f>('Early assessment'!H17/2)+'Early assessment'!H18+('Early assessment'!H19/2)</f>
        <v>8</v>
      </c>
      <c r="E21" s="112" t="s">
        <v>221</v>
      </c>
      <c r="H21" s="49" t="s">
        <v>209</v>
      </c>
      <c r="M21" s="112"/>
    </row>
    <row r="22" spans="3:13" ht="15" x14ac:dyDescent="0.2">
      <c r="C22" s="113" t="s">
        <v>111</v>
      </c>
      <c r="D22" s="115">
        <f>D21*D20</f>
        <v>3628800</v>
      </c>
      <c r="E22" s="112"/>
      <c r="M22" s="112"/>
    </row>
    <row r="23" spans="3:13" x14ac:dyDescent="0.2">
      <c r="M23" s="112"/>
    </row>
    <row r="24" spans="3:13" ht="15" x14ac:dyDescent="0.25">
      <c r="C24" s="67"/>
      <c r="D24" s="111" t="s">
        <v>222</v>
      </c>
      <c r="E24" s="67"/>
      <c r="H24" s="49" t="s">
        <v>223</v>
      </c>
      <c r="M24" s="112"/>
    </row>
    <row r="25" spans="3:13" x14ac:dyDescent="0.2">
      <c r="D25" s="116">
        <v>1</v>
      </c>
      <c r="E25" s="117" t="s">
        <v>224</v>
      </c>
      <c r="M25" s="112"/>
    </row>
    <row r="26" spans="3:13" x14ac:dyDescent="0.2">
      <c r="D26" s="116">
        <v>45000</v>
      </c>
      <c r="E26" s="117" t="s">
        <v>138</v>
      </c>
      <c r="M26" s="112"/>
    </row>
    <row r="27" spans="3:13" x14ac:dyDescent="0.2">
      <c r="D27" s="116">
        <v>90000</v>
      </c>
      <c r="E27" s="117" t="s">
        <v>225</v>
      </c>
      <c r="M27" s="112"/>
    </row>
    <row r="28" spans="3:13" x14ac:dyDescent="0.2">
      <c r="D28" s="116">
        <v>225000</v>
      </c>
      <c r="E28" s="117" t="s">
        <v>163</v>
      </c>
      <c r="M28" s="112"/>
    </row>
    <row r="29" spans="3:13" x14ac:dyDescent="0.2">
      <c r="D29" s="116">
        <v>450000</v>
      </c>
      <c r="E29" s="117" t="s">
        <v>226</v>
      </c>
      <c r="M29" s="112"/>
    </row>
    <row r="30" spans="3:13" x14ac:dyDescent="0.2">
      <c r="D30" s="116">
        <v>900000</v>
      </c>
      <c r="E30" s="117" t="s">
        <v>88</v>
      </c>
      <c r="M30" s="112"/>
    </row>
    <row r="31" spans="3:13" x14ac:dyDescent="0.2">
      <c r="M31" s="112"/>
    </row>
    <row r="32" spans="3:13" ht="15" x14ac:dyDescent="0.25">
      <c r="C32" s="67"/>
      <c r="D32" s="111" t="s">
        <v>227</v>
      </c>
      <c r="E32" s="67"/>
      <c r="H32" s="49" t="s">
        <v>223</v>
      </c>
      <c r="M32" s="112"/>
    </row>
    <row r="33" spans="1:13" ht="15" x14ac:dyDescent="0.25">
      <c r="D33" s="118" t="s">
        <v>30</v>
      </c>
      <c r="E33" s="118" t="s">
        <v>228</v>
      </c>
      <c r="M33" s="112"/>
    </row>
    <row r="34" spans="1:13" x14ac:dyDescent="0.2">
      <c r="D34" s="117">
        <v>1</v>
      </c>
      <c r="E34" s="116">
        <v>1000001</v>
      </c>
      <c r="M34" s="112"/>
    </row>
    <row r="35" spans="1:13" x14ac:dyDescent="0.2">
      <c r="D35" s="117">
        <v>2</v>
      </c>
      <c r="E35" s="116">
        <v>250001</v>
      </c>
      <c r="M35" s="112"/>
    </row>
    <row r="36" spans="1:13" x14ac:dyDescent="0.2">
      <c r="D36" s="117">
        <v>3</v>
      </c>
      <c r="E36" s="116">
        <v>50001</v>
      </c>
      <c r="M36" s="112"/>
    </row>
    <row r="37" spans="1:13" x14ac:dyDescent="0.2">
      <c r="D37" s="117">
        <v>4</v>
      </c>
      <c r="E37" s="116">
        <v>1</v>
      </c>
      <c r="M37" s="112"/>
    </row>
    <row r="39" spans="1:13" ht="15" x14ac:dyDescent="0.25">
      <c r="A39" s="67"/>
      <c r="B39" s="67"/>
      <c r="C39" s="67"/>
      <c r="D39" s="111" t="s">
        <v>547</v>
      </c>
      <c r="E39" s="67"/>
    </row>
    <row r="40" spans="1:13" ht="15" x14ac:dyDescent="0.25">
      <c r="A40" s="118" t="s">
        <v>546</v>
      </c>
      <c r="B40" s="150" t="s">
        <v>33</v>
      </c>
      <c r="C40" s="150" t="s">
        <v>37</v>
      </c>
      <c r="D40" s="150" t="s">
        <v>42</v>
      </c>
      <c r="E40" s="150" t="s">
        <v>43</v>
      </c>
      <c r="F40" s="150" t="s">
        <v>47</v>
      </c>
    </row>
    <row r="41" spans="1:13" x14ac:dyDescent="0.2">
      <c r="A41" s="117" t="s">
        <v>24</v>
      </c>
      <c r="B41" s="49" t="s">
        <v>548</v>
      </c>
      <c r="C41" s="49" t="s">
        <v>549</v>
      </c>
      <c r="D41" s="49" t="s">
        <v>550</v>
      </c>
      <c r="E41" s="49" t="s">
        <v>551</v>
      </c>
      <c r="F41" s="49" t="s">
        <v>552</v>
      </c>
    </row>
    <row r="42" spans="1:13" x14ac:dyDescent="0.2">
      <c r="A42" s="117" t="s">
        <v>25</v>
      </c>
      <c r="B42" s="49" t="s">
        <v>570</v>
      </c>
      <c r="C42" s="49" t="s">
        <v>553</v>
      </c>
      <c r="D42" s="49" t="s">
        <v>554</v>
      </c>
      <c r="E42" s="49" t="s">
        <v>555</v>
      </c>
      <c r="F42" s="49" t="s">
        <v>556</v>
      </c>
    </row>
    <row r="43" spans="1:13" x14ac:dyDescent="0.2">
      <c r="A43" s="117" t="s">
        <v>26</v>
      </c>
      <c r="B43" s="49" t="s">
        <v>574</v>
      </c>
      <c r="C43" s="49" t="s">
        <v>557</v>
      </c>
      <c r="D43" s="49" t="s">
        <v>558</v>
      </c>
      <c r="E43" s="49" t="s">
        <v>559</v>
      </c>
      <c r="F43" s="49" t="s">
        <v>560</v>
      </c>
    </row>
    <row r="44" spans="1:13" x14ac:dyDescent="0.2">
      <c r="A44" s="117" t="s">
        <v>27</v>
      </c>
      <c r="B44" s="49" t="s">
        <v>569</v>
      </c>
      <c r="C44" s="49" t="s">
        <v>561</v>
      </c>
      <c r="D44" s="49" t="s">
        <v>561</v>
      </c>
      <c r="E44" s="49" t="s">
        <v>562</v>
      </c>
      <c r="F44" s="49" t="s">
        <v>563</v>
      </c>
    </row>
    <row r="59" spans="2:5" ht="15" customHeight="1" x14ac:dyDescent="0.2">
      <c r="B59" s="119" t="s">
        <v>229</v>
      </c>
      <c r="C59" s="67"/>
      <c r="D59" s="67"/>
      <c r="E59" s="67"/>
    </row>
    <row r="60" spans="2:5" ht="15" customHeight="1" x14ac:dyDescent="0.2">
      <c r="B60" s="27" t="s">
        <v>230</v>
      </c>
      <c r="C60" s="27"/>
      <c r="D60" s="27"/>
      <c r="E60" s="27"/>
    </row>
    <row r="61" spans="2:5" ht="15" customHeight="1" x14ac:dyDescent="0.2">
      <c r="B61" s="27"/>
      <c r="C61" s="27"/>
      <c r="D61" s="27"/>
      <c r="E61" s="27"/>
    </row>
    <row r="62" spans="2:5" ht="15" customHeight="1" x14ac:dyDescent="0.25">
      <c r="B62" s="120"/>
      <c r="C62" s="26" t="s">
        <v>231</v>
      </c>
      <c r="D62" s="26" t="s">
        <v>232</v>
      </c>
      <c r="E62" s="26" t="s">
        <v>233</v>
      </c>
    </row>
    <row r="63" spans="2:5" ht="35.1" customHeight="1" x14ac:dyDescent="0.2">
      <c r="B63" s="121" t="s">
        <v>234</v>
      </c>
      <c r="C63" s="122" t="s">
        <v>235</v>
      </c>
      <c r="D63" s="122" t="s">
        <v>236</v>
      </c>
      <c r="E63" s="122" t="s">
        <v>237</v>
      </c>
    </row>
    <row r="64" spans="2:5" ht="45" customHeight="1" x14ac:dyDescent="0.2">
      <c r="B64" s="121" t="s">
        <v>238</v>
      </c>
      <c r="C64" s="122" t="s">
        <v>239</v>
      </c>
      <c r="D64" s="123" t="s">
        <v>240</v>
      </c>
      <c r="E64" s="123" t="s">
        <v>241</v>
      </c>
    </row>
    <row r="65" spans="2:5" ht="15" customHeight="1" x14ac:dyDescent="0.2">
      <c r="B65" s="124"/>
      <c r="C65" s="27"/>
      <c r="D65" s="27"/>
      <c r="E65" s="27"/>
    </row>
    <row r="66" spans="2:5" ht="15" customHeight="1" x14ac:dyDescent="0.2">
      <c r="B66" s="125" t="s">
        <v>242</v>
      </c>
      <c r="C66" s="126" t="s">
        <v>243</v>
      </c>
      <c r="D66" s="127" t="s">
        <v>244</v>
      </c>
      <c r="E66" s="127" t="s">
        <v>245</v>
      </c>
    </row>
    <row r="67" spans="2:5" ht="15" customHeight="1" x14ac:dyDescent="0.2">
      <c r="B67" s="128" t="s">
        <v>246</v>
      </c>
      <c r="C67" s="129">
        <v>500000</v>
      </c>
      <c r="D67" s="130">
        <f>AVERAGE(1,0.6)*C67</f>
        <v>400000</v>
      </c>
      <c r="E67" s="131">
        <f>0.6*C67</f>
        <v>300000</v>
      </c>
    </row>
    <row r="68" spans="2:5" ht="15" customHeight="1" x14ac:dyDescent="0.2">
      <c r="B68" s="128" t="s">
        <v>247</v>
      </c>
      <c r="C68" s="132">
        <v>1000000</v>
      </c>
      <c r="D68" s="133">
        <f>C68+(C68*(1-AVERAGE(1,0.8)))</f>
        <v>1100000</v>
      </c>
      <c r="E68" s="134">
        <f>C68+(C68*(1-0.8))</f>
        <v>1200000</v>
      </c>
    </row>
    <row r="69" spans="2:5" ht="15" customHeight="1" x14ac:dyDescent="0.2">
      <c r="B69" s="124"/>
      <c r="C69" s="126" t="s">
        <v>243</v>
      </c>
      <c r="D69" s="127" t="s">
        <v>248</v>
      </c>
      <c r="E69" s="127" t="s">
        <v>249</v>
      </c>
    </row>
    <row r="70" spans="2:5" ht="15" customHeight="1" x14ac:dyDescent="0.2">
      <c r="B70" s="124"/>
      <c r="C70" s="27"/>
      <c r="D70" s="135"/>
      <c r="E70" s="135"/>
    </row>
    <row r="71" spans="2:5" ht="15" customHeight="1" x14ac:dyDescent="0.2">
      <c r="B71" s="136" t="s">
        <v>250</v>
      </c>
      <c r="C71" s="27"/>
      <c r="D71" s="27"/>
      <c r="E71" s="27"/>
    </row>
    <row r="72" spans="2:5" ht="15" customHeight="1" x14ac:dyDescent="0.2">
      <c r="B72" s="136" t="s">
        <v>251</v>
      </c>
      <c r="C72" s="27"/>
      <c r="D72" s="27"/>
      <c r="E72" s="27"/>
    </row>
    <row r="73" spans="2:5" ht="15" customHeight="1" x14ac:dyDescent="0.25">
      <c r="B73" s="120"/>
      <c r="C73" s="26" t="s">
        <v>231</v>
      </c>
      <c r="D73" s="26" t="s">
        <v>232</v>
      </c>
      <c r="E73" s="26" t="s">
        <v>233</v>
      </c>
    </row>
    <row r="74" spans="2:5" ht="28.5" x14ac:dyDescent="0.2">
      <c r="B74" s="121" t="s">
        <v>234</v>
      </c>
      <c r="C74" s="122" t="s">
        <v>252</v>
      </c>
      <c r="D74" s="122" t="s">
        <v>374</v>
      </c>
      <c r="E74" s="122" t="s">
        <v>253</v>
      </c>
    </row>
    <row r="75" spans="2:5" ht="28.5" x14ac:dyDescent="0.2">
      <c r="B75" s="121" t="s">
        <v>238</v>
      </c>
      <c r="C75" s="122" t="s">
        <v>239</v>
      </c>
      <c r="D75" s="122" t="s">
        <v>254</v>
      </c>
      <c r="E75" s="122" t="s">
        <v>255</v>
      </c>
    </row>
  </sheetData>
  <pageMargins left="0.7" right="0.7" top="0.75" bottom="0.75" header="0.3" footer="0.3"/>
  <pageSetup paperSize="9"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D980C-832F-47A4-9D34-397D1CF20BA4}">
  <sheetPr>
    <tabColor theme="8" tint="0.59999389629810485"/>
  </sheetPr>
  <dimension ref="A3:H36"/>
  <sheetViews>
    <sheetView zoomScaleNormal="100" workbookViewId="0">
      <selection activeCell="B11" sqref="B11"/>
    </sheetView>
  </sheetViews>
  <sheetFormatPr defaultRowHeight="12.75" x14ac:dyDescent="0.2"/>
  <cols>
    <col min="1" max="1" width="30.7109375" style="1" customWidth="1"/>
    <col min="2" max="2" width="60.7109375" style="1" customWidth="1"/>
    <col min="3" max="3" width="12.7109375" style="1" customWidth="1"/>
    <col min="4" max="4" width="9.140625" style="1"/>
    <col min="5" max="5" width="12.7109375" style="1" customWidth="1"/>
    <col min="6" max="6" width="9.140625" style="1"/>
    <col min="7" max="7" width="12.7109375" style="1" customWidth="1"/>
    <col min="8" max="16384" width="9.140625" style="1"/>
  </cols>
  <sheetData>
    <row r="3" spans="1:8" ht="20.100000000000001" customHeight="1" x14ac:dyDescent="0.2">
      <c r="A3" s="1" t="s">
        <v>256</v>
      </c>
      <c r="B3" s="7" t="s">
        <v>257</v>
      </c>
      <c r="C3" s="2" t="s">
        <v>138</v>
      </c>
      <c r="D3" s="3">
        <v>2</v>
      </c>
      <c r="E3" s="2" t="s">
        <v>168</v>
      </c>
      <c r="F3" s="3">
        <v>4</v>
      </c>
      <c r="G3" s="2" t="s">
        <v>88</v>
      </c>
      <c r="H3" s="3">
        <v>9</v>
      </c>
    </row>
    <row r="4" spans="1:8" ht="20.100000000000001" customHeight="1" x14ac:dyDescent="0.2">
      <c r="B4" s="2" t="s">
        <v>258</v>
      </c>
      <c r="C4" s="2" t="s">
        <v>138</v>
      </c>
      <c r="D4" s="3">
        <v>2</v>
      </c>
      <c r="E4" s="2" t="s">
        <v>168</v>
      </c>
      <c r="F4" s="3">
        <v>5</v>
      </c>
      <c r="G4" s="2" t="s">
        <v>88</v>
      </c>
      <c r="H4" s="3">
        <v>9</v>
      </c>
    </row>
    <row r="5" spans="1:8" ht="20.100000000000001" customHeight="1" x14ac:dyDescent="0.2">
      <c r="B5" s="7" t="s">
        <v>259</v>
      </c>
      <c r="C5" s="2" t="s">
        <v>138</v>
      </c>
      <c r="D5" s="3">
        <v>1</v>
      </c>
      <c r="E5" s="2" t="s">
        <v>168</v>
      </c>
      <c r="F5" s="3">
        <v>3</v>
      </c>
      <c r="G5" s="2" t="s">
        <v>88</v>
      </c>
      <c r="H5" s="3">
        <v>7</v>
      </c>
    </row>
    <row r="6" spans="1:8" ht="20.100000000000001" customHeight="1" x14ac:dyDescent="0.2">
      <c r="B6" s="2" t="s">
        <v>260</v>
      </c>
      <c r="C6" s="2" t="s">
        <v>261</v>
      </c>
      <c r="D6" s="3">
        <v>2</v>
      </c>
      <c r="E6" s="2" t="s">
        <v>136</v>
      </c>
      <c r="F6" s="3">
        <v>5</v>
      </c>
      <c r="G6" s="2" t="s">
        <v>34</v>
      </c>
      <c r="H6" s="3">
        <v>9</v>
      </c>
    </row>
    <row r="7" spans="1:8" ht="20.100000000000001" customHeight="1" x14ac:dyDescent="0.2">
      <c r="B7" s="7" t="s">
        <v>262</v>
      </c>
      <c r="C7" s="2" t="s">
        <v>138</v>
      </c>
      <c r="D7" s="3">
        <v>2</v>
      </c>
      <c r="E7" s="2" t="s">
        <v>168</v>
      </c>
      <c r="F7" s="3">
        <v>5</v>
      </c>
      <c r="G7" s="2" t="s">
        <v>88</v>
      </c>
      <c r="H7" s="3">
        <v>9</v>
      </c>
    </row>
    <row r="8" spans="1:8" ht="20.100000000000001" customHeight="1" x14ac:dyDescent="0.2">
      <c r="B8" s="7" t="s">
        <v>263</v>
      </c>
      <c r="C8" s="2" t="s">
        <v>138</v>
      </c>
      <c r="D8" s="3">
        <v>2</v>
      </c>
      <c r="E8" s="2" t="s">
        <v>168</v>
      </c>
      <c r="F8" s="3">
        <v>5</v>
      </c>
      <c r="G8" s="2" t="s">
        <v>88</v>
      </c>
      <c r="H8" s="3">
        <v>9</v>
      </c>
    </row>
    <row r="9" spans="1:8" ht="20.100000000000001" customHeight="1" x14ac:dyDescent="0.2">
      <c r="B9" s="2" t="s">
        <v>264</v>
      </c>
      <c r="C9" s="2" t="s">
        <v>34</v>
      </c>
      <c r="D9" s="3">
        <v>0</v>
      </c>
      <c r="E9" s="2" t="s">
        <v>136</v>
      </c>
      <c r="F9" s="3">
        <v>3</v>
      </c>
      <c r="G9" s="2" t="s">
        <v>134</v>
      </c>
      <c r="H9" s="3">
        <v>8</v>
      </c>
    </row>
    <row r="10" spans="1:8" ht="20.100000000000001" customHeight="1" x14ac:dyDescent="0.2">
      <c r="B10" s="7" t="s">
        <v>165</v>
      </c>
      <c r="C10" s="2" t="s">
        <v>167</v>
      </c>
      <c r="D10" s="3">
        <v>0</v>
      </c>
      <c r="E10" s="2" t="s">
        <v>168</v>
      </c>
      <c r="F10" s="3">
        <v>5</v>
      </c>
      <c r="G10" s="2" t="s">
        <v>169</v>
      </c>
      <c r="H10" s="3">
        <v>9</v>
      </c>
    </row>
    <row r="11" spans="1:8" ht="20.100000000000001" customHeight="1" x14ac:dyDescent="0.2">
      <c r="B11" s="2" t="s">
        <v>265</v>
      </c>
      <c r="C11" s="2" t="s">
        <v>164</v>
      </c>
      <c r="D11" s="3">
        <v>1</v>
      </c>
      <c r="E11" s="2" t="s">
        <v>168</v>
      </c>
      <c r="F11" s="3">
        <v>4</v>
      </c>
      <c r="G11" s="2" t="s">
        <v>162</v>
      </c>
      <c r="H11" s="3">
        <v>7</v>
      </c>
    </row>
    <row r="12" spans="1:8" ht="20.100000000000001" customHeight="1" x14ac:dyDescent="0.2">
      <c r="B12" s="2" t="s">
        <v>266</v>
      </c>
      <c r="C12" s="2" t="s">
        <v>34</v>
      </c>
      <c r="D12" s="3">
        <v>0</v>
      </c>
      <c r="E12" s="2" t="s">
        <v>136</v>
      </c>
      <c r="F12" s="3">
        <v>3</v>
      </c>
      <c r="G12" s="2" t="s">
        <v>134</v>
      </c>
      <c r="H12" s="3">
        <v>8</v>
      </c>
    </row>
    <row r="13" spans="1:8" ht="20.100000000000001" customHeight="1" x14ac:dyDescent="0.2">
      <c r="B13" s="2" t="s">
        <v>267</v>
      </c>
      <c r="C13" s="2" t="s">
        <v>164</v>
      </c>
      <c r="D13" s="3">
        <v>2</v>
      </c>
      <c r="E13" s="2" t="s">
        <v>168</v>
      </c>
      <c r="F13" s="3">
        <v>5</v>
      </c>
      <c r="G13" s="2" t="s">
        <v>162</v>
      </c>
      <c r="H13" s="3">
        <v>9</v>
      </c>
    </row>
    <row r="14" spans="1:8" ht="20.100000000000001" customHeight="1" x14ac:dyDescent="0.2">
      <c r="B14" s="7" t="s">
        <v>268</v>
      </c>
      <c r="C14" s="2" t="s">
        <v>34</v>
      </c>
      <c r="D14" s="3">
        <v>0</v>
      </c>
      <c r="E14" s="2" t="s">
        <v>136</v>
      </c>
      <c r="F14" s="3">
        <v>6</v>
      </c>
      <c r="G14" s="2" t="s">
        <v>269</v>
      </c>
      <c r="H14" s="3">
        <v>9</v>
      </c>
    </row>
    <row r="15" spans="1:8" ht="20.100000000000001" customHeight="1" x14ac:dyDescent="0.2"/>
    <row r="16" spans="1:8" ht="20.100000000000001" customHeight="1" x14ac:dyDescent="0.2">
      <c r="A16" s="1" t="s">
        <v>270</v>
      </c>
      <c r="B16" s="2" t="s">
        <v>271</v>
      </c>
      <c r="C16" s="2" t="s">
        <v>162</v>
      </c>
      <c r="D16" s="3">
        <v>1</v>
      </c>
      <c r="E16" s="2" t="s">
        <v>168</v>
      </c>
      <c r="F16" s="3">
        <v>3</v>
      </c>
      <c r="G16" s="2" t="s">
        <v>164</v>
      </c>
      <c r="H16" s="3">
        <v>6</v>
      </c>
    </row>
    <row r="17" spans="1:8" ht="20.100000000000001" customHeight="1" x14ac:dyDescent="0.2">
      <c r="B17" s="2" t="s">
        <v>272</v>
      </c>
      <c r="C17" s="2" t="s">
        <v>134</v>
      </c>
      <c r="D17" s="3">
        <v>1</v>
      </c>
      <c r="E17" s="2" t="s">
        <v>136</v>
      </c>
      <c r="F17" s="3">
        <v>5</v>
      </c>
      <c r="G17" s="2" t="s">
        <v>34</v>
      </c>
      <c r="H17" s="3">
        <v>9</v>
      </c>
    </row>
    <row r="18" spans="1:8" ht="20.100000000000001" customHeight="1" x14ac:dyDescent="0.2">
      <c r="B18" s="2" t="s">
        <v>273</v>
      </c>
      <c r="C18" s="2" t="s">
        <v>134</v>
      </c>
      <c r="D18" s="3">
        <v>1</v>
      </c>
      <c r="E18" s="2" t="s">
        <v>136</v>
      </c>
      <c r="F18" s="3">
        <v>5</v>
      </c>
      <c r="G18" s="2" t="s">
        <v>34</v>
      </c>
      <c r="H18" s="3">
        <v>9</v>
      </c>
    </row>
    <row r="19" spans="1:8" ht="20.100000000000001" customHeight="1" x14ac:dyDescent="0.2">
      <c r="B19" s="2" t="s">
        <v>274</v>
      </c>
      <c r="C19" s="2" t="s">
        <v>34</v>
      </c>
      <c r="D19" s="3">
        <v>0</v>
      </c>
      <c r="E19" s="2" t="s">
        <v>136</v>
      </c>
      <c r="F19" s="3">
        <v>3</v>
      </c>
      <c r="G19" s="2" t="s">
        <v>134</v>
      </c>
      <c r="H19" s="3">
        <v>6</v>
      </c>
    </row>
    <row r="20" spans="1:8" ht="20.100000000000001" customHeight="1" x14ac:dyDescent="0.2">
      <c r="B20" s="2" t="s">
        <v>275</v>
      </c>
      <c r="C20" s="2" t="s">
        <v>276</v>
      </c>
      <c r="D20" s="3">
        <v>1</v>
      </c>
      <c r="E20" s="2" t="s">
        <v>277</v>
      </c>
      <c r="F20" s="3">
        <v>3</v>
      </c>
      <c r="G20" s="2" t="s">
        <v>278</v>
      </c>
      <c r="H20" s="3">
        <v>8</v>
      </c>
    </row>
    <row r="21" spans="1:8" ht="20.100000000000001" customHeight="1" x14ac:dyDescent="0.2">
      <c r="B21" s="2" t="s">
        <v>279</v>
      </c>
      <c r="C21" s="2" t="s">
        <v>34</v>
      </c>
      <c r="D21" s="3">
        <v>0</v>
      </c>
      <c r="E21" s="2" t="s">
        <v>136</v>
      </c>
      <c r="F21" s="3">
        <v>5</v>
      </c>
      <c r="G21" s="2" t="s">
        <v>134</v>
      </c>
      <c r="H21" s="3">
        <v>9</v>
      </c>
    </row>
    <row r="22" spans="1:8" ht="20.100000000000001" customHeight="1" x14ac:dyDescent="0.2">
      <c r="B22" s="2" t="s">
        <v>280</v>
      </c>
      <c r="C22" s="2" t="s">
        <v>281</v>
      </c>
      <c r="D22" s="3">
        <v>0</v>
      </c>
      <c r="E22" s="2" t="s">
        <v>282</v>
      </c>
      <c r="F22" s="3">
        <v>5</v>
      </c>
      <c r="G22" s="2" t="s">
        <v>283</v>
      </c>
      <c r="H22" s="3">
        <v>9</v>
      </c>
    </row>
    <row r="23" spans="1:8" ht="20.100000000000001" customHeight="1" x14ac:dyDescent="0.2">
      <c r="B23" s="2" t="s">
        <v>284</v>
      </c>
      <c r="C23" s="2" t="s">
        <v>172</v>
      </c>
      <c r="D23" s="3">
        <v>0</v>
      </c>
      <c r="E23" s="2" t="s">
        <v>173</v>
      </c>
      <c r="F23" s="3">
        <v>4</v>
      </c>
      <c r="G23" s="2" t="s">
        <v>285</v>
      </c>
      <c r="H23" s="3">
        <v>8</v>
      </c>
    </row>
    <row r="24" spans="1:8" ht="20.100000000000001" customHeight="1" x14ac:dyDescent="0.2">
      <c r="B24" s="2" t="s">
        <v>286</v>
      </c>
      <c r="C24" s="2" t="s">
        <v>162</v>
      </c>
      <c r="D24" s="3">
        <v>0</v>
      </c>
      <c r="E24" s="2" t="s">
        <v>163</v>
      </c>
      <c r="F24" s="3">
        <v>4</v>
      </c>
      <c r="G24" s="2" t="s">
        <v>164</v>
      </c>
      <c r="H24" s="3">
        <v>8</v>
      </c>
    </row>
    <row r="25" spans="1:8" ht="20.100000000000001" customHeight="1" x14ac:dyDescent="0.2">
      <c r="B25" s="2" t="s">
        <v>287</v>
      </c>
      <c r="C25" s="2" t="s">
        <v>162</v>
      </c>
      <c r="D25" s="3">
        <v>1</v>
      </c>
      <c r="E25" s="2" t="s">
        <v>163</v>
      </c>
      <c r="F25" s="3">
        <v>5</v>
      </c>
      <c r="G25" s="2" t="s">
        <v>164</v>
      </c>
      <c r="H25" s="3">
        <v>9</v>
      </c>
    </row>
    <row r="26" spans="1:8" ht="20.100000000000001" customHeight="1" x14ac:dyDescent="0.2">
      <c r="B26" s="2" t="s">
        <v>288</v>
      </c>
      <c r="C26" s="2" t="s">
        <v>289</v>
      </c>
      <c r="D26" s="3">
        <v>0</v>
      </c>
      <c r="E26" s="2" t="s">
        <v>168</v>
      </c>
      <c r="F26" s="3">
        <v>3</v>
      </c>
      <c r="G26" s="2" t="s">
        <v>290</v>
      </c>
      <c r="H26" s="3">
        <v>6</v>
      </c>
    </row>
    <row r="27" spans="1:8" ht="20.100000000000001" customHeight="1" x14ac:dyDescent="0.2"/>
    <row r="28" spans="1:8" ht="20.100000000000001" customHeight="1" x14ac:dyDescent="0.2">
      <c r="A28" s="1" t="s">
        <v>291</v>
      </c>
      <c r="B28" s="2" t="s">
        <v>292</v>
      </c>
      <c r="C28" s="2" t="s">
        <v>162</v>
      </c>
      <c r="D28" s="3">
        <v>1</v>
      </c>
      <c r="E28" s="2" t="s">
        <v>163</v>
      </c>
      <c r="F28" s="3">
        <v>4</v>
      </c>
      <c r="G28" s="2" t="s">
        <v>164</v>
      </c>
      <c r="H28" s="3">
        <v>9</v>
      </c>
    </row>
    <row r="29" spans="1:8" ht="20.100000000000001" customHeight="1" x14ac:dyDescent="0.2">
      <c r="B29" s="2" t="s">
        <v>293</v>
      </c>
      <c r="C29" s="2" t="s">
        <v>134</v>
      </c>
      <c r="D29" s="3">
        <v>0</v>
      </c>
      <c r="E29" s="2" t="s">
        <v>136</v>
      </c>
      <c r="F29" s="3">
        <v>3</v>
      </c>
      <c r="G29" s="2" t="s">
        <v>34</v>
      </c>
      <c r="H29" s="3">
        <v>6</v>
      </c>
    </row>
    <row r="30" spans="1:8" ht="20.100000000000001" customHeight="1" x14ac:dyDescent="0.2">
      <c r="B30" s="2" t="s">
        <v>294</v>
      </c>
      <c r="C30" s="2" t="s">
        <v>162</v>
      </c>
      <c r="D30" s="3">
        <v>0</v>
      </c>
      <c r="E30" s="2" t="s">
        <v>163</v>
      </c>
      <c r="F30" s="3">
        <v>5</v>
      </c>
      <c r="G30" s="2" t="s">
        <v>164</v>
      </c>
      <c r="H30" s="3">
        <v>9</v>
      </c>
    </row>
    <row r="31" spans="1:8" ht="20.100000000000001" customHeight="1" x14ac:dyDescent="0.2">
      <c r="B31" s="2" t="s">
        <v>295</v>
      </c>
      <c r="C31" s="2" t="s">
        <v>34</v>
      </c>
      <c r="D31" s="3">
        <v>0</v>
      </c>
      <c r="E31" s="2" t="s">
        <v>136</v>
      </c>
      <c r="F31" s="3">
        <v>5</v>
      </c>
      <c r="G31" s="2" t="s">
        <v>134</v>
      </c>
      <c r="H31" s="3">
        <v>9</v>
      </c>
    </row>
    <row r="32" spans="1:8" ht="20.100000000000001" customHeight="1" x14ac:dyDescent="0.2">
      <c r="B32" s="2" t="s">
        <v>296</v>
      </c>
      <c r="C32" s="2" t="s">
        <v>34</v>
      </c>
      <c r="D32" s="3">
        <v>0</v>
      </c>
      <c r="E32" s="2" t="s">
        <v>136</v>
      </c>
      <c r="F32" s="3">
        <v>3</v>
      </c>
      <c r="G32" s="2" t="s">
        <v>134</v>
      </c>
      <c r="H32" s="3">
        <v>9</v>
      </c>
    </row>
    <row r="33" spans="2:8" ht="20.100000000000001" customHeight="1" x14ac:dyDescent="0.2">
      <c r="B33" s="2" t="s">
        <v>297</v>
      </c>
      <c r="C33" s="2" t="s">
        <v>298</v>
      </c>
      <c r="D33" s="3">
        <v>0</v>
      </c>
      <c r="E33" s="2" t="s">
        <v>299</v>
      </c>
      <c r="F33" s="3">
        <v>3</v>
      </c>
      <c r="G33" s="2" t="s">
        <v>300</v>
      </c>
      <c r="H33" s="3">
        <v>6</v>
      </c>
    </row>
    <row r="34" spans="2:8" ht="20.100000000000001" customHeight="1" x14ac:dyDescent="0.2">
      <c r="B34" s="2" t="s">
        <v>301</v>
      </c>
      <c r="C34" s="2" t="s">
        <v>34</v>
      </c>
      <c r="D34" s="3">
        <v>0</v>
      </c>
      <c r="E34" s="2" t="s">
        <v>136</v>
      </c>
      <c r="F34" s="3">
        <v>5</v>
      </c>
      <c r="G34" s="2" t="s">
        <v>134</v>
      </c>
      <c r="H34" s="3">
        <v>9</v>
      </c>
    </row>
    <row r="35" spans="2:8" ht="20.100000000000001" customHeight="1" x14ac:dyDescent="0.2">
      <c r="B35" s="2" t="s">
        <v>302</v>
      </c>
      <c r="C35" s="2">
        <v>1</v>
      </c>
      <c r="D35" s="3">
        <v>1</v>
      </c>
      <c r="E35" s="4">
        <v>43525</v>
      </c>
      <c r="F35" s="3">
        <v>4</v>
      </c>
      <c r="G35" s="2" t="s">
        <v>303</v>
      </c>
      <c r="H35" s="3">
        <v>6</v>
      </c>
    </row>
    <row r="36" spans="2:8" ht="20.100000000000001" customHeight="1" x14ac:dyDescent="0.2">
      <c r="B36" s="2" t="s">
        <v>304</v>
      </c>
      <c r="C36" s="2" t="s">
        <v>305</v>
      </c>
      <c r="D36" s="3">
        <v>1</v>
      </c>
      <c r="E36" s="4">
        <v>43741</v>
      </c>
      <c r="F36" s="3">
        <v>5</v>
      </c>
      <c r="G36" s="2" t="s">
        <v>306</v>
      </c>
      <c r="H36" s="3">
        <v>9</v>
      </c>
    </row>
  </sheetData>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E37B0-1822-42F9-9968-DE8B1F1497D4}">
  <sheetPr>
    <tabColor theme="8" tint="0.39997558519241921"/>
  </sheetPr>
  <dimension ref="A2:H22"/>
  <sheetViews>
    <sheetView zoomScale="75" zoomScaleNormal="75" workbookViewId="0">
      <selection activeCell="B11" sqref="B11"/>
    </sheetView>
  </sheetViews>
  <sheetFormatPr defaultRowHeight="15" x14ac:dyDescent="0.25"/>
  <cols>
    <col min="1" max="1" width="30.7109375" customWidth="1"/>
    <col min="2" max="2" width="50.7109375" customWidth="1"/>
    <col min="3" max="3" width="12.7109375" customWidth="1"/>
    <col min="5" max="5" width="12.7109375" customWidth="1"/>
    <col min="7" max="7" width="12.7109375" customWidth="1"/>
  </cols>
  <sheetData>
    <row r="2" spans="1:8" x14ac:dyDescent="0.25">
      <c r="A2" t="s">
        <v>307</v>
      </c>
      <c r="B2" s="5" t="s">
        <v>308</v>
      </c>
      <c r="C2" s="5" t="s">
        <v>138</v>
      </c>
      <c r="D2" s="6">
        <v>1</v>
      </c>
      <c r="E2" s="5" t="s">
        <v>168</v>
      </c>
      <c r="F2" s="6">
        <v>3</v>
      </c>
      <c r="G2" s="5" t="s">
        <v>88</v>
      </c>
      <c r="H2" s="6">
        <v>9</v>
      </c>
    </row>
    <row r="3" spans="1:8" x14ac:dyDescent="0.25">
      <c r="B3" s="5" t="s">
        <v>309</v>
      </c>
      <c r="C3" s="5" t="s">
        <v>138</v>
      </c>
      <c r="D3" s="6">
        <v>2</v>
      </c>
      <c r="E3" s="5" t="s">
        <v>168</v>
      </c>
      <c r="F3" s="6">
        <v>5</v>
      </c>
      <c r="G3" s="5" t="s">
        <v>88</v>
      </c>
      <c r="H3" s="6">
        <v>9</v>
      </c>
    </row>
    <row r="4" spans="1:8" x14ac:dyDescent="0.25">
      <c r="B4" s="5" t="s">
        <v>310</v>
      </c>
      <c r="C4" s="5" t="s">
        <v>311</v>
      </c>
      <c r="D4" s="6">
        <v>1</v>
      </c>
      <c r="E4" s="5" t="s">
        <v>312</v>
      </c>
      <c r="F4" s="6">
        <v>3</v>
      </c>
      <c r="G4" s="5" t="s">
        <v>313</v>
      </c>
      <c r="H4" s="6">
        <v>6</v>
      </c>
    </row>
    <row r="5" spans="1:8" x14ac:dyDescent="0.25">
      <c r="B5" s="5" t="s">
        <v>314</v>
      </c>
      <c r="C5" s="5" t="s">
        <v>315</v>
      </c>
      <c r="D5" s="6">
        <v>1</v>
      </c>
      <c r="E5" s="5" t="s">
        <v>316</v>
      </c>
      <c r="F5" s="6">
        <v>5</v>
      </c>
      <c r="G5" s="5" t="s">
        <v>317</v>
      </c>
      <c r="H5" s="6">
        <v>9</v>
      </c>
    </row>
    <row r="6" spans="1:8" x14ac:dyDescent="0.25">
      <c r="B6" s="5" t="s">
        <v>318</v>
      </c>
      <c r="C6" s="5" t="s">
        <v>34</v>
      </c>
      <c r="D6" s="6">
        <v>0</v>
      </c>
      <c r="E6" s="5" t="s">
        <v>136</v>
      </c>
      <c r="F6" s="6">
        <v>3</v>
      </c>
      <c r="G6" s="5" t="s">
        <v>134</v>
      </c>
      <c r="H6" s="6">
        <v>6</v>
      </c>
    </row>
    <row r="7" spans="1:8" ht="25.5" x14ac:dyDescent="0.25">
      <c r="B7" s="5" t="s">
        <v>319</v>
      </c>
      <c r="C7" s="5" t="s">
        <v>320</v>
      </c>
      <c r="D7" s="6">
        <v>1</v>
      </c>
      <c r="E7" s="5" t="s">
        <v>321</v>
      </c>
      <c r="F7" s="6">
        <v>6</v>
      </c>
      <c r="G7" s="5" t="s">
        <v>322</v>
      </c>
      <c r="H7" s="6">
        <v>9</v>
      </c>
    </row>
    <row r="8" spans="1:8" x14ac:dyDescent="0.25">
      <c r="B8" s="5" t="s">
        <v>323</v>
      </c>
      <c r="C8" s="5" t="s">
        <v>324</v>
      </c>
      <c r="D8" s="6">
        <v>0</v>
      </c>
      <c r="E8" s="5" t="s">
        <v>91</v>
      </c>
      <c r="F8" s="6">
        <v>3</v>
      </c>
      <c r="G8" s="5" t="s">
        <v>325</v>
      </c>
      <c r="H8" s="6">
        <v>9</v>
      </c>
    </row>
    <row r="9" spans="1:8" ht="25.5" x14ac:dyDescent="0.25">
      <c r="B9" s="5" t="s">
        <v>326</v>
      </c>
      <c r="C9" s="5" t="s">
        <v>327</v>
      </c>
      <c r="D9" s="6">
        <v>1</v>
      </c>
      <c r="E9" s="5" t="s">
        <v>328</v>
      </c>
      <c r="F9" s="6">
        <v>5</v>
      </c>
      <c r="G9" s="5" t="s">
        <v>329</v>
      </c>
      <c r="H9" s="6">
        <v>9</v>
      </c>
    </row>
    <row r="10" spans="1:8" x14ac:dyDescent="0.25">
      <c r="B10" s="5" t="s">
        <v>330</v>
      </c>
      <c r="C10" s="5" t="s">
        <v>138</v>
      </c>
      <c r="D10" s="6">
        <v>1</v>
      </c>
      <c r="E10" s="5" t="s">
        <v>168</v>
      </c>
      <c r="F10" s="6">
        <v>3</v>
      </c>
      <c r="G10" s="5" t="s">
        <v>88</v>
      </c>
      <c r="H10" s="6">
        <v>6</v>
      </c>
    </row>
    <row r="12" spans="1:8" x14ac:dyDescent="0.25">
      <c r="A12" t="s">
        <v>331</v>
      </c>
      <c r="B12" s="5" t="s">
        <v>332</v>
      </c>
      <c r="C12" s="5" t="s">
        <v>164</v>
      </c>
      <c r="D12" s="6">
        <v>1</v>
      </c>
      <c r="E12" s="5" t="s">
        <v>168</v>
      </c>
      <c r="F12" s="6">
        <v>3</v>
      </c>
      <c r="G12" s="5" t="s">
        <v>162</v>
      </c>
      <c r="H12" s="6">
        <v>9</v>
      </c>
    </row>
    <row r="13" spans="1:8" x14ac:dyDescent="0.25">
      <c r="B13" s="5" t="s">
        <v>333</v>
      </c>
      <c r="C13" s="5" t="s">
        <v>34</v>
      </c>
      <c r="D13" s="6">
        <v>0</v>
      </c>
      <c r="E13" s="5" t="s">
        <v>136</v>
      </c>
      <c r="F13" s="6">
        <v>5</v>
      </c>
      <c r="G13" s="5" t="s">
        <v>134</v>
      </c>
      <c r="H13" s="6">
        <v>9</v>
      </c>
    </row>
    <row r="14" spans="1:8" x14ac:dyDescent="0.25">
      <c r="B14" s="5" t="s">
        <v>334</v>
      </c>
      <c r="C14" s="5" t="s">
        <v>335</v>
      </c>
      <c r="D14" s="6">
        <v>0</v>
      </c>
      <c r="E14" s="5" t="s">
        <v>136</v>
      </c>
      <c r="F14" s="6">
        <v>4</v>
      </c>
      <c r="G14" s="5" t="s">
        <v>336</v>
      </c>
      <c r="H14" s="6">
        <v>9</v>
      </c>
    </row>
    <row r="15" spans="1:8" x14ac:dyDescent="0.25">
      <c r="B15" s="5" t="s">
        <v>337</v>
      </c>
      <c r="C15" s="5">
        <v>1</v>
      </c>
      <c r="D15" s="6">
        <v>0</v>
      </c>
      <c r="E15" s="5" t="s">
        <v>338</v>
      </c>
      <c r="F15" s="6">
        <v>3</v>
      </c>
      <c r="G15" s="5" t="s">
        <v>306</v>
      </c>
      <c r="H15" s="6">
        <v>7</v>
      </c>
    </row>
    <row r="16" spans="1:8" x14ac:dyDescent="0.25">
      <c r="B16" s="5" t="s">
        <v>339</v>
      </c>
      <c r="C16" s="5">
        <v>0</v>
      </c>
      <c r="D16" s="6">
        <v>0</v>
      </c>
      <c r="E16" s="5">
        <v>1</v>
      </c>
      <c r="F16" s="6">
        <v>3</v>
      </c>
      <c r="G16" s="5" t="s">
        <v>340</v>
      </c>
      <c r="H16" s="6">
        <v>7</v>
      </c>
    </row>
    <row r="17" spans="1:8" ht="25.5" x14ac:dyDescent="0.25">
      <c r="B17" s="5" t="s">
        <v>341</v>
      </c>
      <c r="C17" s="5" t="s">
        <v>342</v>
      </c>
      <c r="D17" s="6">
        <v>2</v>
      </c>
      <c r="E17" s="5" t="s">
        <v>343</v>
      </c>
      <c r="F17" s="6">
        <v>5</v>
      </c>
      <c r="G17" s="5" t="s">
        <v>344</v>
      </c>
      <c r="H17" s="6">
        <v>9</v>
      </c>
    </row>
    <row r="19" spans="1:8" x14ac:dyDescent="0.25">
      <c r="A19" t="s">
        <v>345</v>
      </c>
      <c r="B19" s="5" t="s">
        <v>346</v>
      </c>
      <c r="C19" s="5" t="s">
        <v>134</v>
      </c>
      <c r="D19" s="6">
        <v>1</v>
      </c>
      <c r="E19" s="5" t="s">
        <v>136</v>
      </c>
      <c r="F19" s="6">
        <v>3</v>
      </c>
      <c r="G19" s="5" t="s">
        <v>34</v>
      </c>
      <c r="H19" s="6">
        <v>6</v>
      </c>
    </row>
    <row r="20" spans="1:8" x14ac:dyDescent="0.25">
      <c r="B20" s="5" t="s">
        <v>347</v>
      </c>
      <c r="C20" s="5" t="s">
        <v>162</v>
      </c>
      <c r="D20" s="6">
        <v>1</v>
      </c>
      <c r="E20" s="5" t="s">
        <v>163</v>
      </c>
      <c r="F20" s="6">
        <v>3</v>
      </c>
      <c r="G20" s="5" t="s">
        <v>164</v>
      </c>
      <c r="H20" s="6">
        <v>6</v>
      </c>
    </row>
    <row r="21" spans="1:8" ht="25.5" x14ac:dyDescent="0.25">
      <c r="B21" s="5" t="s">
        <v>348</v>
      </c>
      <c r="C21" s="5" t="s">
        <v>34</v>
      </c>
      <c r="D21" s="6">
        <v>1</v>
      </c>
      <c r="E21" s="5" t="s">
        <v>136</v>
      </c>
      <c r="F21" s="6">
        <v>3</v>
      </c>
      <c r="G21" s="5" t="s">
        <v>134</v>
      </c>
      <c r="H21" s="6">
        <v>9</v>
      </c>
    </row>
    <row r="22" spans="1:8" x14ac:dyDescent="0.25">
      <c r="B22" s="5" t="s">
        <v>349</v>
      </c>
      <c r="C22" s="5" t="s">
        <v>350</v>
      </c>
      <c r="D22" s="6">
        <v>1</v>
      </c>
      <c r="E22" s="5" t="s">
        <v>351</v>
      </c>
      <c r="F22" s="6">
        <v>5</v>
      </c>
      <c r="G22" s="5" t="s">
        <v>164</v>
      </c>
      <c r="H22" s="6">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5563BEBED7E849A2C299C8099836DE" ma:contentTypeVersion="15" ma:contentTypeDescription="Create a new document." ma:contentTypeScope="" ma:versionID="30afdafe519408ceb24c777c6704ada2">
  <xsd:schema xmlns:xsd="http://www.w3.org/2001/XMLSchema" xmlns:xs="http://www.w3.org/2001/XMLSchema" xmlns:p="http://schemas.microsoft.com/office/2006/metadata/properties" xmlns:ns1="http://schemas.microsoft.com/sharepoint/v3" xmlns:ns3="8eadecfb-02ef-4c37-8629-1f8495f13a7a" xmlns:ns4="2f8076f3-311e-48c5-a79b-7a114dc8d3a9" targetNamespace="http://schemas.microsoft.com/office/2006/metadata/properties" ma:root="true" ma:fieldsID="ed09b0fad5d55057c1550e3118f4e2e6" ns1:_="" ns3:_="" ns4:_="">
    <xsd:import namespace="http://schemas.microsoft.com/sharepoint/v3"/>
    <xsd:import namespace="8eadecfb-02ef-4c37-8629-1f8495f13a7a"/>
    <xsd:import namespace="2f8076f3-311e-48c5-a79b-7a114dc8d3a9"/>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OCR" minOccurs="0"/>
                <xsd:element ref="ns3:MediaServiceLocation" minOccurs="0"/>
                <xsd:element ref="ns3:MediaServiceEventHashCode" minOccurs="0"/>
                <xsd:element ref="ns3:MediaServiceGenerationTime" minOccurs="0"/>
                <xsd:element ref="ns1:_ip_UnifiedCompliancePolicyProperties" minOccurs="0"/>
                <xsd:element ref="ns1:_ip_UnifiedCompliancePolicyUIAc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adecfb-02ef-4c37-8629-1f8495f13a7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8076f3-311e-48c5-a79b-7a114dc8d3a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F52C4E8-ED06-445C-B550-40AD87340D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eadecfb-02ef-4c37-8629-1f8495f13a7a"/>
    <ds:schemaRef ds:uri="2f8076f3-311e-48c5-a79b-7a114dc8d3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0A2BB0-446F-47B5-85E9-BAE137C23ABF}">
  <ds:schemaRefs>
    <ds:schemaRef ds:uri="http://schemas.microsoft.com/sharepoint/v3/contenttype/forms"/>
  </ds:schemaRefs>
</ds:datastoreItem>
</file>

<file path=customXml/itemProps3.xml><?xml version="1.0" encoding="utf-8"?>
<ds:datastoreItem xmlns:ds="http://schemas.openxmlformats.org/officeDocument/2006/customXml" ds:itemID="{8F22C8C1-4C3A-468D-B772-AFC2ECED2893}">
  <ds:schemaRefs>
    <ds:schemaRef ds:uri="http://schemas.microsoft.com/office/2006/documentManagement/types"/>
    <ds:schemaRef ds:uri="2f8076f3-311e-48c5-a79b-7a114dc8d3a9"/>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8eadecfb-02ef-4c37-8629-1f8495f13a7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Early assessment</vt:lpstr>
      <vt:lpstr>Full assessment</vt:lpstr>
      <vt:lpstr>Results</vt:lpstr>
      <vt:lpstr>UPMO &amp; IMC assessment</vt:lpstr>
      <vt:lpstr>Definitions</vt:lpstr>
      <vt:lpstr>Lookups</vt:lpstr>
      <vt:lpstr>BC delivery</vt:lpstr>
      <vt:lpstr>BC benefits</vt:lpstr>
      <vt:lpstr>Achievability</vt:lpstr>
      <vt:lpstr>Attractiveness</vt:lpstr>
      <vt:lpstr>Pr_name</vt:lpstr>
      <vt:lpstr>'Early assessment'!Print_Area</vt:lpstr>
      <vt:lpstr>'Full assessment'!Print_Area</vt:lpstr>
      <vt:lpstr>Instructions!Print_Area</vt:lpstr>
      <vt:lpstr>Results!Print_Area</vt:lpstr>
      <vt:lpstr>'Early assessment'!Print_Titles</vt:lpstr>
      <vt:lpstr>'Full assessment'!Print_Titles</vt:lpstr>
    </vt:vector>
  </TitlesOfParts>
  <Manager>Paul Campbell</Manager>
  <Company>ACU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Assessment</dc:title>
  <dc:subject/>
  <dc:creator>Mikail Ruutu</dc:creator>
  <cp:keywords>Project; Priority; Prioritisation; Complexity; Benefits; Delivery</cp:keywords>
  <dc:description>Template version 2022 02.</dc:description>
  <cp:lastModifiedBy>Mikail Ruutu</cp:lastModifiedBy>
  <cp:revision/>
  <cp:lastPrinted>2021-06-21T06:00:41Z</cp:lastPrinted>
  <dcterms:created xsi:type="dcterms:W3CDTF">2019-08-21T05:09:23Z</dcterms:created>
  <dcterms:modified xsi:type="dcterms:W3CDTF">2023-10-27T03:06:31Z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0x010100D85563BEBED7E849A2C299C8099836DE</vt:lpwstr>
  </property>
</Properties>
</file>